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29.jpeg" ContentType="image/jpeg"/>
  <Override PartName="/xl/media/image7.jpeg" ContentType="image/jpeg"/>
  <Override PartName="/xl/media/image28.jpeg" ContentType="image/jpeg"/>
  <Override PartName="/xl/media/image6.jpeg" ContentType="image/jpeg"/>
  <Override PartName="/xl/media/image27.jpeg" ContentType="image/jpeg"/>
  <Override PartName="/xl/media/image5.jpeg" ContentType="image/jpeg"/>
  <Override PartName="/xl/media/image26.jpeg" ContentType="image/jpeg"/>
  <Override PartName="/xl/media/image4.jpeg" ContentType="image/jpeg"/>
  <Override PartName="/xl/media/image25.jpeg" ContentType="image/jpeg"/>
  <Override PartName="/xl/media/image3.jpeg" ContentType="image/jpeg"/>
  <Override PartName="/xl/media/image24.jpeg" ContentType="image/jpeg"/>
  <Override PartName="/xl/media/image2.jpeg" ContentType="image/jpeg"/>
  <Override PartName="/xl/media/image23.jpeg" ContentType="image/jpeg"/>
  <Override PartName="/xl/media/image1.jpeg" ContentType="image/jpeg"/>
  <Override PartName="/xl/media/image22.jpeg" ContentType="image/jpeg"/>
  <Override PartName="/xl/media/image21.jpeg" ContentType="image/jpeg"/>
  <Override PartName="/xl/media/image19.jpeg" ContentType="image/jpeg"/>
  <Override PartName="/xl/media/image20.jpeg" ContentType="image/jpeg"/>
  <Override PartName="/xl/media/image18.jpeg" ContentType="image/jpeg"/>
  <Override PartName="/xl/media/image17.jpeg" ContentType="image/jpeg"/>
  <Override PartName="/xl/media/image16.jpeg" ContentType="image/jpeg"/>
  <Override PartName="/xl/media/image35.jpeg" ContentType="image/jpeg"/>
  <Override PartName="/xl/media/image36.jpeg" ContentType="image/jpeg"/>
  <Override PartName="/xl/media/image37.jpeg" ContentType="image/jpeg"/>
  <Override PartName="/xl/media/image38.jpeg" ContentType="image/jpeg"/>
  <Override PartName="/xl/media/image40.jpeg" ContentType="image/jpeg"/>
  <Override PartName="/xl/media/image41.jpeg" ContentType="image/jpeg"/>
  <Override PartName="/xl/media/image39.jpeg" ContentType="image/jpeg"/>
  <Override PartName="/xl/media/image42.jpeg" ContentType="image/jpeg"/>
  <Override PartName="/xl/media/image43.jpeg" ContentType="image/jpeg"/>
  <Override PartName="/xl/media/image44.jpeg" ContentType="image/jpeg"/>
  <Override PartName="/xl/media/image45.jpeg" ContentType="image/jpeg"/>
  <Override PartName="/xl/media/image46.jpeg" ContentType="image/jpeg"/>
  <Override PartName="/xl/media/image8.jpeg" ContentType="image/jpeg"/>
  <Override PartName="/xl/media/image50.jpeg" ContentType="image/jpeg"/>
  <Override PartName="/xl/media/image13.jpeg" ContentType="image/jpeg"/>
  <Override PartName="/xl/media/image11.jpeg" ContentType="image/jpeg"/>
  <Override PartName="/xl/media/image48.jpeg" ContentType="image/jpeg"/>
  <Override PartName="/xl/media/image34.jpeg" ContentType="image/jpeg"/>
  <Override PartName="/xl/media/image33.jpeg" ContentType="image/jpeg"/>
  <Override PartName="/xl/media/image32.jpeg" ContentType="image/jpeg"/>
  <Override PartName="/xl/media/image31.jpeg" ContentType="image/jpeg"/>
  <Override PartName="/xl/media/image30.jpeg" ContentType="image/jpeg"/>
  <Override PartName="/xl/media/image9.jpeg" ContentType="image/jpeg"/>
  <Override PartName="/xl/media/image10.jpeg" ContentType="image/jpeg"/>
  <Override PartName="/xl/media/image47.jpeg" ContentType="image/jpeg"/>
  <Override PartName="/xl/media/image12.jpeg" ContentType="image/jpeg"/>
  <Override PartName="/xl/media/image49.jpeg" ContentType="image/jpeg"/>
  <Override PartName="/xl/media/image14.jpeg" ContentType="image/jpeg"/>
  <Override PartName="/xl/media/image15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表紙" sheetId="1" state="visible" r:id="rId3"/>
    <sheet name="スケジュール" sheetId="2" state="visible" r:id="rId4"/>
    <sheet name="制作工程表" sheetId="3" state="visible" r:id="rId5"/>
    <sheet name="撮影指示書" sheetId="4" state="visible" r:id="rId6"/>
    <sheet name="撮影香盤表" sheetId="5" state="visible" r:id="rId7"/>
    <sheet name="事前準備・出演者" sheetId="6" state="visible" r:id="rId8"/>
    <sheet name="サイト構成" sheetId="7" state="visible" r:id="rId9"/>
    <sheet name="写真カット見本" sheetId="8" state="visible" r:id="rId10"/>
  </sheets>
  <definedNames>
    <definedName function="false" hidden="false" localSheetId="6" name="_xlnm.Print_Titles" vbProcedure="false">サイト構成!$8:$8</definedName>
    <definedName function="false" hidden="false" localSheetId="1" name="_xlnm.Print_Titles" vbProcedure="false">スケジュール!$6:$9</definedName>
    <definedName function="false" hidden="false" localSheetId="5" name="_xlnm.Print_Titles" vbProcedure="false">事前準備・出演者!$8:$8</definedName>
    <definedName function="false" hidden="false" localSheetId="2" name="_xlnm.Print_Titles" vbProcedure="false">制作工程表!$8:$8</definedName>
    <definedName function="false" hidden="false" localSheetId="3" name="_xlnm.Print_Titles" vbProcedure="false">撮影指示書!$8:$8</definedName>
    <definedName function="false" hidden="false" localSheetId="4" name="_xlnm.Print_Titles" vbProcedure="false">撮影香盤表!$8:$8</definedName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<sst xmlns="http://schemas.openxmlformats.org/spreadsheetml/2006/main" count="1762" uniqueCount="1023">
  <si>
    <t xml:space="preserve">KASANE GLASS  CORPORATE SITE</t>
  </si>
  <si>
    <t xml:space="preserve">KASANE GLASS コーポレートサイト制作計画</t>
  </si>
  <si>
    <t xml:space="preserve">KASANE GLASS（架空）｜建築用ガラスの素材相談・加工／本社・加工工場・素材室＋施工先／全13ページ・写真51点</t>
  </si>
  <si>
    <t xml:space="preserve">期間の考え方：一般的な企業サイトは約3か月、内容によって3か月〜半年が目安。本計画は製品5種の仕様確認と施工先の撮影許諾があるため、企業側の確認を各7営業日、撮影後に予備日を見込み、約5か月で設定。</t>
  </si>
  <si>
    <t xml:space="preserve">主な日程</t>
  </si>
  <si>
    <t xml:space="preserve">進み具合</t>
  </si>
  <si>
    <t xml:space="preserve">内容</t>
  </si>
  <si>
    <t xml:space="preserve">日付</t>
  </si>
  <si>
    <t xml:space="preserve">動く人</t>
  </si>
  <si>
    <t xml:space="preserve">メモ</t>
  </si>
  <si>
    <t xml:space="preserve">状態</t>
  </si>
  <si>
    <t xml:space="preserve">件数</t>
  </si>
  <si>
    <t xml:space="preserve">制作スタート（キックオフ）</t>
  </si>
  <si>
    <t xml:space="preserve">制作チーム</t>
  </si>
  <si>
    <t xml:space="preserve">目的・掲載範囲・窓口を確認</t>
  </si>
  <si>
    <t xml:space="preserve">全作業</t>
  </si>
  <si>
    <t xml:space="preserve">構成・ワイヤーのご承認</t>
  </si>
  <si>
    <t xml:space="preserve">KASANE GLASS様</t>
  </si>
  <si>
    <t xml:space="preserve">13ページの構成と素材比較機能</t>
  </si>
  <si>
    <t xml:space="preserve">完了</t>
  </si>
  <si>
    <t xml:space="preserve">撮影1日目　加工工場</t>
  </si>
  <si>
    <t xml:space="preserve">全員</t>
  </si>
  <si>
    <t xml:space="preserve">加工・検査・社員インタビュー2名</t>
  </si>
  <si>
    <t xml:space="preserve">進行中</t>
  </si>
  <si>
    <t xml:space="preserve">撮影2日目　本社・素材室</t>
  </si>
  <si>
    <t xml:space="preserve">ガラス5種の物撮り・代表・森下</t>
  </si>
  <si>
    <t xml:space="preserve">確認待ち</t>
  </si>
  <si>
    <t xml:space="preserve">撮影3日目　施工先3件</t>
  </si>
  <si>
    <t xml:space="preserve">オフィス・ラウンジ・住宅</t>
  </si>
  <si>
    <t xml:space="preserve">要調整</t>
  </si>
  <si>
    <t xml:space="preserve">原稿・写真・仕様のご確認</t>
  </si>
  <si>
    <t xml:space="preserve">事実確認・仕様表記・掲載可否</t>
  </si>
  <si>
    <t xml:space="preserve">未着手</t>
  </si>
  <si>
    <t xml:space="preserve">デザインのご確認</t>
  </si>
  <si>
    <t xml:space="preserve">PC／スマホのデザイン案</t>
  </si>
  <si>
    <t xml:space="preserve">完了率</t>
  </si>
  <si>
    <t xml:space="preserve">公開前の最終確認・公開承認</t>
  </si>
  <si>
    <t xml:space="preserve">表記・許諾・フォーム受信先</t>
  </si>
  <si>
    <t xml:space="preserve">状態は「制作工程表」の進捗欄から自動集計</t>
  </si>
  <si>
    <t xml:space="preserve">公開</t>
  </si>
  <si>
    <t xml:space="preserve">公開直後の表示と受信を確認</t>
  </si>
  <si>
    <t xml:space="preserve">このファイルの見方</t>
  </si>
  <si>
    <t xml:space="preserve">スケジュール</t>
  </si>
  <si>
    <t xml:space="preserve">誰が・いつまでに・何をするか。企業側の確認期限（◆）もここで確認できます。</t>
  </si>
  <si>
    <t xml:space="preserve">制作工程表</t>
  </si>
  <si>
    <r>
      <rPr>
        <sz val="10.5"/>
        <color rgb="FF4D5770"/>
        <rFont val="Yu Gothic"/>
        <family val="0"/>
        <charset val="1"/>
      </rPr>
      <t xml:space="preserve">26</t>
    </r>
    <r>
      <rPr>
        <sz val="10.5"/>
        <color rgb="FF4D5770"/>
        <rFont val="Noto Sans CJK SC"/>
        <family val="2"/>
      </rPr>
      <t xml:space="preserve">の作業の担当・期限・進捗。黄色の行が企業のご確認（</t>
    </r>
    <r>
      <rPr>
        <sz val="10.5"/>
        <color rgb="FF4D5770"/>
        <rFont val="Yu Gothic"/>
        <family val="0"/>
        <charset val="1"/>
      </rPr>
      <t xml:space="preserve">7</t>
    </r>
    <r>
      <rPr>
        <sz val="10.5"/>
        <color rgb="FF4D5770"/>
        <rFont val="Noto Sans CJK SC"/>
        <family val="2"/>
      </rPr>
      <t xml:space="preserve">営業日）です。開始日（黄色）を変えると全体の日付が動きます。</t>
    </r>
  </si>
  <si>
    <t xml:space="preserve">撮影指示書</t>
  </si>
  <si>
    <t xml:space="preserve">写真51点の撮影内容・構図・掲載先。CG・素材で手配する5点も記載。</t>
  </si>
  <si>
    <t xml:space="preserve">撮影香盤表</t>
  </si>
  <si>
    <t xml:space="preserve">撮影3日間のタイムテーブル（何時に・どこで・誰が）。</t>
  </si>
  <si>
    <t xml:space="preserve">事前準備・出演者</t>
  </si>
  <si>
    <t xml:space="preserve">企業側にご準備いただく内容と締切、出演者の参加時間、取材の質問案。</t>
  </si>
  <si>
    <t xml:space="preserve">サイト構成</t>
  </si>
  <si>
    <r>
      <rPr>
        <sz val="10.5"/>
        <color rgb="FF4D5770"/>
        <rFont val="Yu Gothic"/>
        <family val="0"/>
        <charset val="1"/>
      </rPr>
      <t xml:space="preserve">13</t>
    </r>
    <r>
      <rPr>
        <sz val="10.5"/>
        <color rgb="FF4D5770"/>
        <rFont val="Noto Sans CJK SC"/>
        <family val="2"/>
      </rPr>
      <t xml:space="preserve">ページの見出し・掲載内容・使う写真。</t>
    </r>
  </si>
  <si>
    <t xml:space="preserve">写真カット見本</t>
  </si>
  <si>
    <t xml:space="preserve">撮影指示書の写真IDに対応する見本画像（AI生成・50点）。</t>
  </si>
  <si>
    <t xml:space="preserve">色の決まり</t>
  </si>
  <si>
    <t xml:space="preserve">撮影</t>
  </si>
  <si>
    <t xml:space="preserve">変更できる日付</t>
  </si>
  <si>
    <t xml:space="preserve">会社・製品・人物・数字・日程はデモ用の架空設定です。写真はAI生成です。</t>
  </si>
  <si>
    <t xml:space="preserve">KASANE GLASS サイト制作スケジュール</t>
  </si>
  <si>
    <t xml:space="preserve">KASANE GLASS コーポレートサイト制作計画（デモ）｜誰が・いつまでに・何をするか／企業側の確認期限</t>
  </si>
  <si>
    <t xml:space="preserve">企業側（KASANE GLASS様）</t>
  </si>
  <si>
    <t xml:space="preserve">撮影日</t>
  </si>
  <si>
    <t xml:space="preserve">◆ 企業の確認期限</t>
  </si>
  <si>
    <t xml:space="preserve">今日</t>
  </si>
  <si>
    <t xml:space="preserve">帯の色：紺＝制作チーム、黄＝企業側、赤＝撮影日。◆は企業側の確認期限。日付は「制作工程表」の開始日から自動で計算されます。</t>
  </si>
  <si>
    <t xml:space="preserve">ID</t>
  </si>
  <si>
    <t xml:space="preserve">工程</t>
  </si>
  <si>
    <t xml:space="preserve">作業</t>
  </si>
  <si>
    <t xml:space="preserve">実行する人</t>
  </si>
  <si>
    <t xml:space="preserve">確認する人</t>
  </si>
  <si>
    <t xml:space="preserve">区分</t>
  </si>
  <si>
    <t xml:space="preserve">開始</t>
  </si>
  <si>
    <t xml:space="preserve">確認期限</t>
  </si>
  <si>
    <r>
      <rPr>
        <b val="true"/>
        <sz val="10.5"/>
        <color rgb="FF1B2740"/>
        <rFont val="Yu Gothic"/>
        <family val="0"/>
        <charset val="1"/>
      </rPr>
      <t xml:space="preserve">1</t>
    </r>
    <r>
      <rPr>
        <b val="true"/>
        <sz val="10.5"/>
        <color rgb="FF1B2740"/>
        <rFont val="Noto Sans CJK SC"/>
        <family val="2"/>
      </rPr>
      <t xml:space="preserve">　企画・設計</t>
    </r>
  </si>
  <si>
    <t xml:space="preserve">G</t>
  </si>
  <si>
    <r>
      <rPr>
        <b val="true"/>
        <sz val="10.5"/>
        <color rgb="FF1B2740"/>
        <rFont val="Yu Gothic"/>
        <family val="0"/>
        <charset val="1"/>
      </rPr>
      <t xml:space="preserve">2</t>
    </r>
    <r>
      <rPr>
        <b val="true"/>
        <sz val="10.5"/>
        <color rgb="FF1B2740"/>
        <rFont val="Noto Sans CJK SC"/>
        <family val="2"/>
      </rPr>
      <t xml:space="preserve">　取材の準備</t>
    </r>
  </si>
  <si>
    <r>
      <rPr>
        <b val="true"/>
        <sz val="10.5"/>
        <color rgb="FF1B2740"/>
        <rFont val="Yu Gothic"/>
        <family val="0"/>
        <charset val="1"/>
      </rPr>
      <t xml:space="preserve">3</t>
    </r>
    <r>
      <rPr>
        <b val="true"/>
        <sz val="10.5"/>
        <color rgb="FF1B2740"/>
        <rFont val="Noto Sans CJK SC"/>
        <family val="2"/>
      </rPr>
      <t xml:space="preserve">　取材・撮影</t>
    </r>
  </si>
  <si>
    <r>
      <rPr>
        <b val="true"/>
        <sz val="10.5"/>
        <color rgb="FF1B2740"/>
        <rFont val="Yu Gothic"/>
        <family val="0"/>
        <charset val="1"/>
      </rPr>
      <t xml:space="preserve">4</t>
    </r>
    <r>
      <rPr>
        <b val="true"/>
        <sz val="10.5"/>
        <color rgb="FF1B2740"/>
        <rFont val="Noto Sans CJK SC"/>
        <family val="2"/>
      </rPr>
      <t xml:space="preserve">　原稿</t>
    </r>
  </si>
  <si>
    <r>
      <rPr>
        <b val="true"/>
        <sz val="10.5"/>
        <color rgb="FF1B2740"/>
        <rFont val="Yu Gothic"/>
        <family val="0"/>
        <charset val="1"/>
      </rPr>
      <t xml:space="preserve">5</t>
    </r>
    <r>
      <rPr>
        <b val="true"/>
        <sz val="10.5"/>
        <color rgb="FF1B2740"/>
        <rFont val="Noto Sans CJK SC"/>
        <family val="2"/>
      </rPr>
      <t xml:space="preserve">　デザイン</t>
    </r>
  </si>
  <si>
    <r>
      <rPr>
        <b val="true"/>
        <sz val="10.5"/>
        <color rgb="FF1B2740"/>
        <rFont val="Yu Gothic"/>
        <family val="0"/>
        <charset val="1"/>
      </rPr>
      <t xml:space="preserve">6</t>
    </r>
    <r>
      <rPr>
        <b val="true"/>
        <sz val="10.5"/>
        <color rgb="FF1B2740"/>
        <rFont val="Noto Sans CJK SC"/>
        <family val="2"/>
      </rPr>
      <t xml:space="preserve">　実装・公開</t>
    </r>
  </si>
  <si>
    <t xml:space="preserve">表の見方</t>
  </si>
  <si>
    <t xml:space="preserve">・帯は作業する期間です。紺は制作チーム、黄色は企業側（KASANE GLASS様）が動く作業、赤は撮影日です。</t>
  </si>
  <si>
    <t xml:space="preserve">・◆は、その作業について企業側に確認・承認をお願いしたい期限です。確認する人は「確認する人」列をご覧ください。</t>
  </si>
  <si>
    <t xml:space="preserve">・日付・担当・状態は「制作工程表」シートと連動しています。変更は制作工程表で行ってください。</t>
  </si>
  <si>
    <t xml:space="preserve">・祝日・休業日は「制作工程表」の右端の列に入れると、日付から自動で外れます。</t>
  </si>
  <si>
    <t xml:space="preserve">KASANE GLASS サイト制作工程表</t>
  </si>
  <si>
    <t xml:space="preserve">KASANE GLASS コーポレートサイト制作計画（デモ）｜全体の工程と担当</t>
  </si>
  <si>
    <t xml:space="preserve">制作開始日</t>
  </si>
  <si>
    <t xml:space="preserve">撮影1日目</t>
  </si>
  <si>
    <t xml:space="preserve">撮影2日目</t>
  </si>
  <si>
    <t xml:space="preserve">撮影3日目</t>
  </si>
  <si>
    <t xml:space="preserve">約5か月の仮日程。企業側のご確認は各7営業日（黄色の行）、施工先の撮影から1週間後に予備撮影日。開始日を変えると全体の日付が動きます。祝日・休業日は右端の列に入れると自動で避けます（会社のカレンダーに合わせて追加してください）。</t>
  </si>
  <si>
    <t xml:space="preserve">黄色：変更する日付　色付き帯：作業期間　進捗は実際の状況に更新。デモの写真はAI生成、香盤は実案件の撮影を想定。</t>
  </si>
  <si>
    <t xml:space="preserve">制作・実行担当</t>
  </si>
  <si>
    <t xml:space="preserve">企業側の確認担当</t>
  </si>
  <si>
    <t xml:space="preserve">成果物・確認内容</t>
  </si>
  <si>
    <t xml:space="preserve">開始日</t>
  </si>
  <si>
    <t xml:space="preserve">完了期限</t>
  </si>
  <si>
    <t xml:space="preserve">先行作業</t>
  </si>
  <si>
    <t xml:space="preserve">進捗</t>
  </si>
  <si>
    <t xml:space="preserve">期間（営業日）</t>
  </si>
  <si>
    <r>
      <rPr>
        <b val="true"/>
        <sz val="10"/>
        <color rgb="FFFFFFFF"/>
        <rFont val="Yu Gothic"/>
        <family val="0"/>
        <charset val="1"/>
      </rPr>
      <t xml:space="preserve">1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</si>
  <si>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2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</si>
  <si>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3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</si>
  <si>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4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</si>
  <si>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5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</si>
  <si>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6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</si>
  <si>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7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</si>
  <si>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8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</si>
  <si>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9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</si>
  <si>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10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</si>
  <si>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11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</si>
  <si>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12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</si>
  <si>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13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</si>
  <si>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14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</si>
  <si>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15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</si>
  <si>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16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</si>
  <si>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17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</si>
  <si>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18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</si>
  <si>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19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</si>
  <si>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20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</si>
  <si>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21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</si>
  <si>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22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</si>
  <si>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23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</si>
  <si>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24</t>
    </r>
    <r>
      <rPr>
        <b val="true"/>
        <sz val="10"/>
        <color rgb="FFFFFFFF"/>
        <rFont val="Noto Sans CJK SC"/>
        <family val="2"/>
      </rPr>
      <t xml:space="preserve">週目</t>
    </r>
  </si>
  <si>
    <t xml:space="preserve">祝日・休業日</t>
  </si>
  <si>
    <t xml:space="preserve">T01</t>
  </si>
  <si>
    <t xml:space="preserve">企画</t>
  </si>
  <si>
    <t xml:space="preserve">キックオフ・ヒアリング</t>
  </si>
  <si>
    <t xml:space="preserve">編集ディレクター</t>
  </si>
  <si>
    <t xml:space="preserve">広報窓口</t>
  </si>
  <si>
    <t xml:space="preserve">発注の目的・掲載範囲・窓口・公開希望時期</t>
  </si>
  <si>
    <t xml:space="preserve">—</t>
  </si>
  <si>
    <t xml:space="preserve">なし</t>
  </si>
  <si>
    <t xml:space="preserve">文化の日</t>
  </si>
  <si>
    <t xml:space="preserve">T02</t>
  </si>
  <si>
    <t xml:space="preserve">製品情報の棚卸し・構成案の作成</t>
  </si>
  <si>
    <r>
      <rPr>
        <sz val="10.5"/>
        <color rgb="FF1B2740"/>
        <rFont val="Yu Gothic"/>
        <family val="0"/>
        <charset val="1"/>
      </rPr>
      <t xml:space="preserve">13</t>
    </r>
    <r>
      <rPr>
        <sz val="10.5"/>
        <color rgb="FF1B2740"/>
        <rFont val="Noto Sans CJK SC"/>
        <family val="2"/>
      </rPr>
      <t xml:space="preserve">ページ構成案／製品</t>
    </r>
    <r>
      <rPr>
        <sz val="10.5"/>
        <color rgb="FF1B2740"/>
        <rFont val="Yu Gothic"/>
        <family val="0"/>
        <charset val="1"/>
      </rPr>
      <t xml:space="preserve">5</t>
    </r>
    <r>
      <rPr>
        <sz val="10.5"/>
        <color rgb="FF1B2740"/>
        <rFont val="Noto Sans CJK SC"/>
        <family val="2"/>
      </rPr>
      <t xml:space="preserve">種の掲載項目</t>
    </r>
  </si>
  <si>
    <t xml:space="preserve">勤労感謝の日</t>
  </si>
  <si>
    <t xml:space="preserve">T03</t>
  </si>
  <si>
    <t xml:space="preserve">企画確認</t>
  </si>
  <si>
    <t xml:space="preserve">構成案のご確認</t>
  </si>
  <si>
    <t xml:space="preserve">代表・技術営業課</t>
  </si>
  <si>
    <t xml:space="preserve">構成・製品の分け方・掲載する仕様へのご意見</t>
  </si>
  <si>
    <t xml:space="preserve">年末年始休業</t>
  </si>
  <si>
    <t xml:space="preserve">T04</t>
  </si>
  <si>
    <t xml:space="preserve">設計</t>
  </si>
  <si>
    <t xml:space="preserve">ワイヤーフレーム・素材比較機能の設計</t>
  </si>
  <si>
    <t xml:space="preserve">編集ディレクター・デザイナー</t>
  </si>
  <si>
    <r>
      <rPr>
        <sz val="10.5"/>
        <color rgb="FF1B2740"/>
        <rFont val="Noto Sans CJK SC"/>
        <family val="2"/>
      </rPr>
      <t xml:space="preserve">全</t>
    </r>
    <r>
      <rPr>
        <sz val="10.5"/>
        <color rgb="FF1B2740"/>
        <rFont val="Yu Gothic"/>
        <family val="0"/>
        <charset val="1"/>
      </rPr>
      <t xml:space="preserve">13</t>
    </r>
    <r>
      <rPr>
        <sz val="10.5"/>
        <color rgb="FF1B2740"/>
        <rFont val="Noto Sans CJK SC"/>
        <family val="2"/>
      </rPr>
      <t xml:space="preserve">ページのワイヤー／比較機能の仕様</t>
    </r>
  </si>
  <si>
    <t xml:space="preserve">T05</t>
  </si>
  <si>
    <t xml:space="preserve">設計確認</t>
  </si>
  <si>
    <t xml:space="preserve">ワイヤーフレームのご確認</t>
  </si>
  <si>
    <t xml:space="preserve">情報の順番／比較機能／相談までの導線</t>
  </si>
  <si>
    <t xml:space="preserve">T06</t>
  </si>
  <si>
    <t xml:space="preserve">資料提供</t>
  </si>
  <si>
    <t xml:space="preserve">製品仕様・資料のご提供</t>
  </si>
  <si>
    <t xml:space="preserve">技術営業課</t>
  </si>
  <si>
    <t xml:space="preserve">品質管理課</t>
  </si>
  <si>
    <t xml:space="preserve">仕様表・カタログ・性能値の根拠資料</t>
  </si>
  <si>
    <t xml:space="preserve">元日</t>
  </si>
  <si>
    <t xml:space="preserve">T07</t>
  </si>
  <si>
    <t xml:space="preserve">取材準備</t>
  </si>
  <si>
    <t xml:space="preserve">撮影指示書・質問案の作成</t>
  </si>
  <si>
    <t xml:space="preserve">ライター・カメラマン</t>
  </si>
  <si>
    <t xml:space="preserve">51カットの指示／質問案／CG素材の手配範囲</t>
  </si>
  <si>
    <t xml:space="preserve">年始休業（工場の想定）</t>
  </si>
  <si>
    <t xml:space="preserve">T08</t>
  </si>
  <si>
    <t xml:space="preserve">撮影場所・出演者・施工先許諾の調整</t>
  </si>
  <si>
    <t xml:space="preserve">施工先・設計者</t>
  </si>
  <si>
    <r>
      <rPr>
        <sz val="10.5"/>
        <color rgb="FF1B2740"/>
        <rFont val="Noto Sans CJK SC"/>
        <family val="2"/>
      </rPr>
      <t xml:space="preserve">施工先</t>
    </r>
    <r>
      <rPr>
        <sz val="10.5"/>
        <color rgb="FF1B2740"/>
        <rFont val="Yu Gothic"/>
        <family val="0"/>
        <charset val="1"/>
      </rPr>
      <t xml:space="preserve">3</t>
    </r>
    <r>
      <rPr>
        <sz val="10.5"/>
        <color rgb="FF1B2740"/>
        <rFont val="Noto Sans CJK SC"/>
        <family val="2"/>
      </rPr>
      <t xml:space="preserve">件の撮影許諾・立会い／出演者</t>
    </r>
  </si>
  <si>
    <t xml:space="preserve">成人の日</t>
  </si>
  <si>
    <t xml:space="preserve">T09</t>
  </si>
  <si>
    <t xml:space="preserve">香盤・安全ルールのご確認</t>
  </si>
  <si>
    <t xml:space="preserve">製造部・出演者</t>
  </si>
  <si>
    <t xml:space="preserve">3日間の香盤／保護具・立入範囲／施工先の注意事項</t>
  </si>
  <si>
    <t xml:space="preserve">T07・T08</t>
  </si>
  <si>
    <t xml:space="preserve">建国記念の日</t>
  </si>
  <si>
    <t xml:space="preserve">T10</t>
  </si>
  <si>
    <t xml:space="preserve">取材撮影</t>
  </si>
  <si>
    <t xml:space="preserve">加工工場の取材・撮影</t>
  </si>
  <si>
    <t xml:space="preserve">製造部</t>
  </si>
  <si>
    <t xml:space="preserve">写真／岩城・佐伯の取材音声</t>
  </si>
  <si>
    <t xml:space="preserve">天皇誕生日</t>
  </si>
  <si>
    <t xml:space="preserve">T11</t>
  </si>
  <si>
    <t xml:space="preserve">本社・素材室の取材・撮影（物撮り）</t>
  </si>
  <si>
    <t xml:space="preserve">素材写真／代表・森下の取材音声</t>
  </si>
  <si>
    <t xml:space="preserve">春分の日（振替休日）</t>
  </si>
  <si>
    <t xml:space="preserve">T12</t>
  </si>
  <si>
    <t xml:space="preserve">施工先3件の撮影</t>
  </si>
  <si>
    <t xml:space="preserve">カメラマン・編集ディレクター</t>
  </si>
  <si>
    <t xml:space="preserve">施工事例・製品ページの空間写真</t>
  </si>
  <si>
    <r>
      <rPr>
        <sz val="10.5"/>
        <color rgb="FF1B2740"/>
        <rFont val="Yu Gothic"/>
        <family val="0"/>
        <charset val="1"/>
      </rPr>
      <t xml:space="preserve">T08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T09</t>
    </r>
  </si>
  <si>
    <t xml:space="preserve">昭和の日</t>
  </si>
  <si>
    <t xml:space="preserve">T13</t>
  </si>
  <si>
    <t xml:space="preserve">予備撮影日（天候・施工先の都合）</t>
  </si>
  <si>
    <t xml:space="preserve">カメラマン</t>
  </si>
  <si>
    <t xml:space="preserve">必要な場合のみ実施</t>
  </si>
  <si>
    <t xml:space="preserve">憲法記念日</t>
  </si>
  <si>
    <t xml:space="preserve">T14</t>
  </si>
  <si>
    <t xml:space="preserve">素材整理</t>
  </si>
  <si>
    <t xml:space="preserve">写真選定・レタッチ・CG素材の手配</t>
  </si>
  <si>
    <t xml:space="preserve">カメラマン・デザイナー</t>
  </si>
  <si>
    <r>
      <rPr>
        <sz val="10.5"/>
        <color rgb="FF1B2740"/>
        <rFont val="Noto Sans CJK SC"/>
        <family val="2"/>
      </rPr>
      <t xml:space="preserve">写真候補／撮影しない空間イメージの</t>
    </r>
    <r>
      <rPr>
        <sz val="10.5"/>
        <color rgb="FF1B2740"/>
        <rFont val="Yu Gothic"/>
        <family val="0"/>
        <charset val="1"/>
      </rPr>
      <t xml:space="preserve">CG</t>
    </r>
    <r>
      <rPr>
        <sz val="10.5"/>
        <color rgb="FF1B2740"/>
        <rFont val="Noto Sans CJK SC"/>
        <family val="2"/>
      </rPr>
      <t xml:space="preserve">・素材</t>
    </r>
  </si>
  <si>
    <t xml:space="preserve">みどりの日</t>
  </si>
  <si>
    <t xml:space="preserve">T15</t>
  </si>
  <si>
    <t xml:space="preserve">執筆</t>
  </si>
  <si>
    <t xml:space="preserve">全13ページの原稿作成</t>
  </si>
  <si>
    <t xml:space="preserve">ライター</t>
  </si>
  <si>
    <t xml:space="preserve">ページ原稿／製品5種の説明／インタビュー3名</t>
  </si>
  <si>
    <t xml:space="preserve">T06・T11</t>
  </si>
  <si>
    <t xml:space="preserve">こどもの日</t>
  </si>
  <si>
    <t xml:space="preserve">T16</t>
  </si>
  <si>
    <t xml:space="preserve">原稿確認</t>
  </si>
  <si>
    <t xml:space="preserve">原稿・写真のご確認</t>
  </si>
  <si>
    <t xml:space="preserve">代表・出演者</t>
  </si>
  <si>
    <t xml:space="preserve">事実確認／写真と発言の掲載可否</t>
  </si>
  <si>
    <r>
      <rPr>
        <sz val="10.5"/>
        <color rgb="FF1B2740"/>
        <rFont val="Yu Gothic"/>
        <family val="0"/>
        <charset val="1"/>
      </rPr>
      <t xml:space="preserve">T14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T15</t>
    </r>
  </si>
  <si>
    <t xml:space="preserve">T17</t>
  </si>
  <si>
    <t xml:space="preserve">仕様表記・性能値のご確認</t>
  </si>
  <si>
    <t xml:space="preserve">仕様一覧・用語・性能の表記</t>
  </si>
  <si>
    <t xml:space="preserve">T18</t>
  </si>
  <si>
    <t xml:space="preserve">原稿確定</t>
  </si>
  <si>
    <t xml:space="preserve">原稿の修正・確定</t>
  </si>
  <si>
    <t xml:space="preserve">ライター・編集ディレクター</t>
  </si>
  <si>
    <t xml:space="preserve">確定原稿／確定写真／仕様一覧</t>
  </si>
  <si>
    <r>
      <rPr>
        <sz val="10.5"/>
        <color rgb="FF1B2740"/>
        <rFont val="Yu Gothic"/>
        <family val="0"/>
        <charset val="1"/>
      </rPr>
      <t xml:space="preserve">T16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T17</t>
    </r>
  </si>
  <si>
    <t xml:space="preserve">T19</t>
  </si>
  <si>
    <t xml:space="preserve">デザイン</t>
  </si>
  <si>
    <t xml:space="preserve">トップ・代表下層のデザイン</t>
  </si>
  <si>
    <t xml:space="preserve">デザイナー</t>
  </si>
  <si>
    <t xml:space="preserve">PC／スマホのデザイン案／素材比較の見え方</t>
  </si>
  <si>
    <t xml:space="preserve">T05・T12</t>
  </si>
  <si>
    <t xml:space="preserve">T20</t>
  </si>
  <si>
    <t xml:space="preserve">デザイン確認</t>
  </si>
  <si>
    <t xml:space="preserve">代表</t>
  </si>
  <si>
    <t xml:space="preserve">修正意見を窓口でまとめてご連絡</t>
  </si>
  <si>
    <t xml:space="preserve">T21</t>
  </si>
  <si>
    <t xml:space="preserve">全13ページの展開・確定</t>
  </si>
  <si>
    <t xml:space="preserve">全ページの確定デザイン</t>
  </si>
  <si>
    <t xml:space="preserve">T18・T20</t>
  </si>
  <si>
    <t xml:space="preserve">T22</t>
  </si>
  <si>
    <t xml:space="preserve">実装</t>
  </si>
  <si>
    <t xml:space="preserve">ページ実装・素材比較機能・フォーム</t>
  </si>
  <si>
    <t xml:space="preserve">実装担当</t>
  </si>
  <si>
    <t xml:space="preserve">閲覧用サイト／比較機能／問い合わせフォーム</t>
  </si>
  <si>
    <t xml:space="preserve">T23</t>
  </si>
  <si>
    <t xml:space="preserve">確認</t>
  </si>
  <si>
    <t xml:space="preserve">表示・操作・フォームの確認（制作内）</t>
  </si>
  <si>
    <t xml:space="preserve">実装担当・編集ディレクター</t>
  </si>
  <si>
    <t xml:space="preserve">修正一覧／ブラウザ・スマホのテスト記録</t>
  </si>
  <si>
    <t xml:space="preserve">T24</t>
  </si>
  <si>
    <t xml:space="preserve">公開前確認</t>
  </si>
  <si>
    <t xml:space="preserve">仕様表記・掲載許諾・受信先／公開承認</t>
  </si>
  <si>
    <t xml:space="preserve">T25</t>
  </si>
  <si>
    <t xml:space="preserve">修正</t>
  </si>
  <si>
    <t xml:space="preserve">最終修正・公開準備</t>
  </si>
  <si>
    <t xml:space="preserve">最終版／更新方法の資料</t>
  </si>
  <si>
    <t xml:space="preserve">T26</t>
  </si>
  <si>
    <t xml:space="preserve">公開・公開直後の確認</t>
  </si>
  <si>
    <t xml:space="preserve">公開確認／問い合わせ受信テスト</t>
  </si>
  <si>
    <t xml:space="preserve">写真51点 撮影指示書</t>
  </si>
  <si>
    <t xml:space="preserve">KASANE GLASS コーポレートサイト制作計画（デモ）｜写真51点の撮り方</t>
  </si>
  <si>
    <t xml:space="preserve">写真は51点。うち5点（01・03・06・07・09）は撮影せずCG・素材で手配。施工先の写真は許諾が取れた物件のみ。</t>
  </si>
  <si>
    <t xml:space="preserve">デモはAI生成写真を使用。写真カット見本シートにデモサイトで使った50点を掲載。実案件の撮影では施工先の状況と許諾に合わせて調整。</t>
  </si>
  <si>
    <t xml:space="preserve">写真IDと香盤IDで掲載先・撮影枠を追跡。ガラスは映り込みで撮影者・機材が写りやすいため、立ち位置を確認して撮影。</t>
  </si>
  <si>
    <t xml:space="preserve">写真ID</t>
  </si>
  <si>
    <t xml:space="preserve">撮影内容</t>
  </si>
  <si>
    <t xml:space="preserve">掲載ページ</t>
  </si>
  <si>
    <t xml:space="preserve">伝えたいこと</t>
  </si>
  <si>
    <t xml:space="preserve">縦横・比率</t>
  </si>
  <si>
    <t xml:space="preserve">構図・余白</t>
  </si>
  <si>
    <t xml:space="preserve">出演者（架空）</t>
  </si>
  <si>
    <t xml:space="preserve">場所</t>
  </si>
  <si>
    <t xml:space="preserve">香盤ID</t>
  </si>
  <si>
    <t xml:space="preserve">準備物</t>
  </si>
  <si>
    <t xml:space="preserve">撮影時の確認</t>
  </si>
  <si>
    <t xml:space="preserve">担当</t>
  </si>
  <si>
    <t xml:space="preserve">掲載確認</t>
  </si>
  <si>
    <t xml:space="preserve">01</t>
  </si>
  <si>
    <t xml:space="preserve">海と山を望む建築とガラス（FV）</t>
  </si>
  <si>
    <t xml:space="preserve">トップ</t>
  </si>
  <si>
    <t xml:space="preserve">光と空間をつなぐ会社の姿勢</t>
  </si>
  <si>
    <t xml:space="preserve">横 16:9</t>
  </si>
  <si>
    <t xml:space="preserve">左右に重なるガラス、中央に余白</t>
  </si>
  <si>
    <t xml:space="preserve">CG・素材</t>
  </si>
  <si>
    <t xml:space="preserve">CG</t>
  </si>
  <si>
    <t xml:space="preserve">CGの指示書</t>
  </si>
  <si>
    <t xml:space="preserve">撮影せずCGで制作</t>
  </si>
  <si>
    <t xml:space="preserve">未確認</t>
  </si>
  <si>
    <t xml:space="preserve">02</t>
  </si>
  <si>
    <t xml:space="preserve">型板ガラスの表面</t>
  </si>
  <si>
    <t xml:space="preserve">素材の質感</t>
  </si>
  <si>
    <t xml:space="preserve">横 3:2</t>
  </si>
  <si>
    <t xml:space="preserve">斜光で凹凸を強調</t>
  </si>
  <si>
    <t xml:space="preserve">かさね素材室／窓際</t>
  </si>
  <si>
    <t xml:space="preserve">D2-01</t>
  </si>
  <si>
    <t xml:space="preserve">型板サンプル</t>
  </si>
  <si>
    <t xml:space="preserve">撮影者の映り込みを確認</t>
  </si>
  <si>
    <t xml:space="preserve">03</t>
  </si>
  <si>
    <t xml:space="preserve">ガラスの造形</t>
  </si>
  <si>
    <t xml:space="preserve">ガラスの柔らかな表情</t>
  </si>
  <si>
    <t xml:space="preserve">背景を空色にぼかす</t>
  </si>
  <si>
    <t xml:space="preserve">04</t>
  </si>
  <si>
    <t xml:space="preserve">端面に差す光</t>
  </si>
  <si>
    <t xml:space="preserve">端部の仕上げへのこだわり</t>
  </si>
  <si>
    <t xml:space="preserve">端面のごく近く、浅い被写界深度</t>
  </si>
  <si>
    <t xml:space="preserve">磨き仕上げのサンプル</t>
  </si>
  <si>
    <t xml:space="preserve">指紋・ほこりを除く</t>
  </si>
  <si>
    <t xml:space="preserve">05</t>
  </si>
  <si>
    <t xml:space="preserve">オフィスの空間</t>
  </si>
  <si>
    <t xml:space="preserve">トップ（空間イメージ）</t>
  </si>
  <si>
    <t xml:space="preserve">オフィスでの使われ方</t>
  </si>
  <si>
    <t xml:space="preserve">ガラス越しに中庭</t>
  </si>
  <si>
    <t xml:space="preserve">施工先A（オフィス）</t>
  </si>
  <si>
    <t xml:space="preserve">D3-01</t>
  </si>
  <si>
    <t xml:space="preserve">社名・PC画面を写さない</t>
  </si>
  <si>
    <t xml:space="preserve">06</t>
  </si>
  <si>
    <t xml:space="preserve">商業施設の空間</t>
  </si>
  <si>
    <t xml:space="preserve">商業施設での使われ方</t>
  </si>
  <si>
    <t xml:space="preserve">高い天井と大開口</t>
  </si>
  <si>
    <r>
      <rPr>
        <sz val="10.5"/>
        <color rgb="FF1B2740"/>
        <rFont val="Yu Gothic"/>
        <family val="0"/>
        <charset val="1"/>
      </rPr>
      <t xml:space="preserve">CG</t>
    </r>
    <r>
      <rPr>
        <sz val="10.5"/>
        <color rgb="FF1B2740"/>
        <rFont val="Noto Sans CJK SC"/>
        <family val="2"/>
      </rPr>
      <t xml:space="preserve">の指示書</t>
    </r>
  </si>
  <si>
    <r>
      <rPr>
        <sz val="10.5"/>
        <color rgb="FF1B2740"/>
        <rFont val="Noto Sans CJK SC"/>
        <family val="2"/>
      </rPr>
      <t xml:space="preserve">撮影せず</t>
    </r>
    <r>
      <rPr>
        <sz val="10.5"/>
        <color rgb="FF1B2740"/>
        <rFont val="Yu Gothic"/>
        <family val="0"/>
        <charset val="1"/>
      </rPr>
      <t xml:space="preserve">CG</t>
    </r>
    <r>
      <rPr>
        <sz val="10.5"/>
        <color rgb="FF1B2740"/>
        <rFont val="Noto Sans CJK SC"/>
        <family val="2"/>
      </rPr>
      <t xml:space="preserve">で制作</t>
    </r>
  </si>
  <si>
    <t xml:space="preserve">07</t>
  </si>
  <si>
    <t xml:space="preserve">ホテルの空間</t>
  </si>
  <si>
    <t xml:space="preserve">ホテルでの使われ方</t>
  </si>
  <si>
    <t xml:space="preserve">ラウンジとガラス面</t>
  </si>
  <si>
    <t xml:space="preserve">08</t>
  </si>
  <si>
    <t xml:space="preserve">住宅の空間</t>
  </si>
  <si>
    <t xml:space="preserve">住宅での使われ方</t>
  </si>
  <si>
    <t xml:space="preserve">リビングと庭の連続</t>
  </si>
  <si>
    <t xml:space="preserve">施工先C（住宅）</t>
  </si>
  <si>
    <t xml:space="preserve">D3-03</t>
  </si>
  <si>
    <t xml:space="preserve">家具を整える</t>
  </si>
  <si>
    <t xml:space="preserve">私物・表札を写さない</t>
  </si>
  <si>
    <t xml:space="preserve">09</t>
  </si>
  <si>
    <t xml:space="preserve">公共空間</t>
  </si>
  <si>
    <t xml:space="preserve">公共建築での使われ方</t>
  </si>
  <si>
    <t xml:space="preserve">吹き抜けとガラス面</t>
  </si>
  <si>
    <t xml:space="preserve">10</t>
  </si>
  <si>
    <t xml:space="preserve">加工機でのガラス加工</t>
  </si>
  <si>
    <t xml:space="preserve">トップ（技術）</t>
  </si>
  <si>
    <t xml:space="preserve">精密な加工</t>
  </si>
  <si>
    <t xml:space="preserve">加工部を近めに</t>
  </si>
  <si>
    <t xml:space="preserve">岩城</t>
  </si>
  <si>
    <t xml:space="preserve">加工工場／加工機</t>
  </si>
  <si>
    <t xml:space="preserve">D1-02</t>
  </si>
  <si>
    <t xml:space="preserve">加工する板ガラス</t>
  </si>
  <si>
    <t xml:space="preserve">設備の外側から撮影</t>
  </si>
  <si>
    <t xml:space="preserve">11</t>
  </si>
  <si>
    <t xml:space="preserve">植物とガラス</t>
  </si>
  <si>
    <t xml:space="preserve">トップ（長く使う）</t>
  </si>
  <si>
    <t xml:space="preserve">長く美しく使う</t>
  </si>
  <si>
    <t xml:space="preserve">横 3:1</t>
  </si>
  <si>
    <t xml:space="preserve">葉越しのガラスと光</t>
  </si>
  <si>
    <t xml:space="preserve">D2-06</t>
  </si>
  <si>
    <t xml:space="preserve">鉢植え</t>
  </si>
  <si>
    <t xml:space="preserve">背景の建物を写さない</t>
  </si>
  <si>
    <t xml:space="preserve">12</t>
  </si>
  <si>
    <t xml:space="preserve">製作前に比べるサンプルと図面</t>
  </si>
  <si>
    <t xml:space="preserve">トップ（流れ）／採用</t>
  </si>
  <si>
    <t xml:space="preserve">相談から製作までの検討</t>
  </si>
  <si>
    <t xml:space="preserve">サンプル3枚を斜めに重ねる</t>
  </si>
  <si>
    <t xml:space="preserve">設計相談室／作業台</t>
  </si>
  <si>
    <t xml:space="preserve">D2-02</t>
  </si>
  <si>
    <t xml:space="preserve">架空の図面・サンプル</t>
  </si>
  <si>
    <t xml:space="preserve">図面は撮影用の架空図面</t>
  </si>
  <si>
    <t xml:space="preserve">13</t>
  </si>
  <si>
    <t xml:space="preserve">図面とサンプルの比較</t>
  </si>
  <si>
    <t xml:space="preserve">提案前の設計検討</t>
  </si>
  <si>
    <t xml:space="preserve">サンプル2枚と鉛筆</t>
  </si>
  <si>
    <t xml:space="preserve">架空の図面</t>
  </si>
  <si>
    <t xml:space="preserve">12と配置を変える</t>
  </si>
  <si>
    <t xml:space="preserve">14</t>
  </si>
  <si>
    <t xml:space="preserve">寸法と取り合いの照合</t>
  </si>
  <si>
    <t xml:space="preserve">現地調査の結果を図面に</t>
  </si>
  <si>
    <t xml:space="preserve">定規と図面、サンプル</t>
  </si>
  <si>
    <t xml:space="preserve">定規・架空の図面</t>
  </si>
  <si>
    <r>
      <rPr>
        <sz val="10.5"/>
        <color rgb="FF1B2740"/>
        <rFont val="Yu Gothic"/>
        <family val="0"/>
        <charset val="1"/>
      </rPr>
      <t xml:space="preserve">12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13</t>
    </r>
    <r>
      <rPr>
        <sz val="10.5"/>
        <color rgb="FF1B2740"/>
        <rFont val="Noto Sans CJK SC"/>
        <family val="2"/>
      </rPr>
      <t xml:space="preserve">と角度を変える</t>
    </r>
  </si>
  <si>
    <t xml:space="preserve">15</t>
  </si>
  <si>
    <t xml:space="preserve">表面と端部の確かめ</t>
  </si>
  <si>
    <t xml:space="preserve">納品後も相談できる</t>
  </si>
  <si>
    <t xml:space="preserve">布と資料、反射する板</t>
  </si>
  <si>
    <t xml:space="preserve">布・資料</t>
  </si>
  <si>
    <t xml:space="preserve">反射に機材が写らない角度</t>
  </si>
  <si>
    <t xml:space="preserve">16</t>
  </si>
  <si>
    <t xml:space="preserve">庭と室内の間の透明ガラス</t>
  </si>
  <si>
    <t xml:space="preserve">私たちの想い</t>
  </si>
  <si>
    <t xml:space="preserve">ガラスの向こうまで考える</t>
  </si>
  <si>
    <t xml:space="preserve">壁に落ちる光を主役に</t>
  </si>
  <si>
    <t xml:space="preserve">午後の光の時間に合わせる</t>
  </si>
  <si>
    <t xml:space="preserve">17</t>
  </si>
  <si>
    <t xml:space="preserve">間仕切り越しの読書スペース</t>
  </si>
  <si>
    <t xml:space="preserve">視線の抜けと落ち着き</t>
  </si>
  <si>
    <t xml:space="preserve">縦 3:4</t>
  </si>
  <si>
    <t xml:space="preserve">手前に椅子、奥に庭</t>
  </si>
  <si>
    <t xml:space="preserve">施工先B（ラウンジ）</t>
  </si>
  <si>
    <t xml:space="preserve">D3-02</t>
  </si>
  <si>
    <t xml:space="preserve">椅子・本</t>
  </si>
  <si>
    <t xml:space="preserve">縦で撮影</t>
  </si>
  <si>
    <t xml:space="preserve">18</t>
  </si>
  <si>
    <t xml:space="preserve">窓から差し込む午後の光</t>
  </si>
  <si>
    <t xml:space="preserve">光と視線の関係</t>
  </si>
  <si>
    <t xml:space="preserve">ベンチと窓、床の光</t>
  </si>
  <si>
    <r>
      <rPr>
        <sz val="10.5"/>
        <color rgb="FF1B2740"/>
        <rFont val="Yu Gothic"/>
        <family val="0"/>
        <charset val="1"/>
      </rPr>
      <t xml:space="preserve">16</t>
    </r>
    <r>
      <rPr>
        <sz val="10.5"/>
        <color rgb="FF1B2740"/>
        <rFont val="Noto Sans CJK SC"/>
        <family val="2"/>
      </rPr>
      <t xml:space="preserve">と画角を変える</t>
    </r>
  </si>
  <si>
    <t xml:space="preserve">19</t>
  </si>
  <si>
    <t xml:space="preserve">5種のサンプルを並べた標本</t>
  </si>
  <si>
    <t xml:space="preserve">製品一覧（見出し）</t>
  </si>
  <si>
    <t xml:space="preserve">光で選ぶガラスの標本室</t>
  </si>
  <si>
    <t xml:space="preserve">石の台に5枚、同じ自然光</t>
  </si>
  <si>
    <t xml:space="preserve">かさね素材室</t>
  </si>
  <si>
    <t xml:space="preserve">D2-05</t>
  </si>
  <si>
    <t xml:space="preserve">5種のサンプル・台</t>
  </si>
  <si>
    <t xml:space="preserve">サンプルの順番は製品ページ順</t>
  </si>
  <si>
    <t xml:space="preserve">20</t>
  </si>
  <si>
    <t xml:space="preserve">透明ガラスの空間</t>
  </si>
  <si>
    <t xml:space="preserve">製品一覧／透明ガラス</t>
  </si>
  <si>
    <t xml:space="preserve">光と風景をそのまま室内へ</t>
  </si>
  <si>
    <t xml:space="preserve">ガラス越しの中庭</t>
  </si>
  <si>
    <t xml:space="preserve">反射に撮影者が写らない角度</t>
  </si>
  <si>
    <t xml:space="preserve">21</t>
  </si>
  <si>
    <t xml:space="preserve">フロストガラスの空間</t>
  </si>
  <si>
    <t xml:space="preserve">製品一覧／フロスト</t>
  </si>
  <si>
    <t xml:space="preserve">光を取り込み視線をやわらげる</t>
  </si>
  <si>
    <t xml:space="preserve">植物の柔らかな輪郭</t>
  </si>
  <si>
    <t xml:space="preserve">背景との距離を記録</t>
  </si>
  <si>
    <t xml:space="preserve">22</t>
  </si>
  <si>
    <t xml:space="preserve">型板ガラスの接写</t>
  </si>
  <si>
    <t xml:space="preserve">製品一覧／型板</t>
  </si>
  <si>
    <t xml:space="preserve">凹凸が光の見え方を変える</t>
  </si>
  <si>
    <t xml:space="preserve">模様越しの植物</t>
  </si>
  <si>
    <t xml:space="preserve">型板サンプル・植物</t>
  </si>
  <si>
    <r>
      <rPr>
        <sz val="10.5"/>
        <color rgb="FF1B2740"/>
        <rFont val="Yu Gothic"/>
        <family val="0"/>
        <charset val="1"/>
      </rPr>
      <t xml:space="preserve">02</t>
    </r>
    <r>
      <rPr>
        <sz val="10.5"/>
        <color rgb="FF1B2740"/>
        <rFont val="Noto Sans CJK SC"/>
        <family val="2"/>
      </rPr>
      <t xml:space="preserve">と距離を変える</t>
    </r>
  </si>
  <si>
    <t xml:space="preserve">23</t>
  </si>
  <si>
    <t xml:space="preserve">カラーガラスの空間</t>
  </si>
  <si>
    <t xml:space="preserve">製品一覧／カラー</t>
  </si>
  <si>
    <t xml:space="preserve">光を通して空間に色を重ねる</t>
  </si>
  <si>
    <t xml:space="preserve">淡い暖色と床の光</t>
  </si>
  <si>
    <t xml:space="preserve">カラーサンプル</t>
  </si>
  <si>
    <t xml:space="preserve">色の再現を確認（グレーカード）</t>
  </si>
  <si>
    <t xml:space="preserve">24</t>
  </si>
  <si>
    <t xml:space="preserve">固定窓と室内外のつながり</t>
  </si>
  <si>
    <t xml:space="preserve">製品一覧／機能性</t>
  </si>
  <si>
    <t xml:space="preserve">求める性能から選ぶ</t>
  </si>
  <si>
    <t xml:space="preserve">窓の端部と外の景色</t>
  </si>
  <si>
    <t xml:space="preserve">性能値を写真で示さない</t>
  </si>
  <si>
    <t xml:space="preserve">25</t>
  </si>
  <si>
    <t xml:space="preserve">中庭へ抜ける開口部</t>
  </si>
  <si>
    <t xml:space="preserve">製品一覧（選び方）</t>
  </si>
  <si>
    <t xml:space="preserve">ガラス選びの3つのポイント</t>
  </si>
  <si>
    <t xml:space="preserve">開口と植栽、端部の納まり</t>
  </si>
  <si>
    <t xml:space="preserve">外の住宅を写さない</t>
  </si>
  <si>
    <t xml:space="preserve">26</t>
  </si>
  <si>
    <t xml:space="preserve">透明ガラスの端部と支持部</t>
  </si>
  <si>
    <t xml:space="preserve">透明ガラス</t>
  </si>
  <si>
    <t xml:space="preserve">端部の輪郭と光</t>
  </si>
  <si>
    <t xml:space="preserve">端部を斜めから接写</t>
  </si>
  <si>
    <t xml:space="preserve">支持金物付きサンプル</t>
  </si>
  <si>
    <t xml:space="preserve">27</t>
  </si>
  <si>
    <t xml:space="preserve">景色を取り込む窓</t>
  </si>
  <si>
    <t xml:space="preserve">外の景色を取り込む開口部</t>
  </si>
  <si>
    <t xml:space="preserve">窓越しの景色を広く</t>
  </si>
  <si>
    <t xml:space="preserve">外の住宅・人を写さない</t>
  </si>
  <si>
    <t xml:space="preserve">28</t>
  </si>
  <si>
    <t xml:space="preserve">会議室の透明間仕切り</t>
  </si>
  <si>
    <t xml:space="preserve">室内のガラス間仕切り</t>
  </si>
  <si>
    <t xml:space="preserve">会議室と執務空間の関係</t>
  </si>
  <si>
    <t xml:space="preserve">ホワイトボードの内容を消す</t>
  </si>
  <si>
    <t xml:space="preserve">29</t>
  </si>
  <si>
    <t xml:space="preserve">ショールームのガラス面</t>
  </si>
  <si>
    <t xml:space="preserve">透明ガラス／会社情報</t>
  </si>
  <si>
    <t xml:space="preserve">店舗・ショールームのガラス面</t>
  </si>
  <si>
    <t xml:space="preserve">ガラス越しの家具と陶器</t>
  </si>
  <si>
    <t xml:space="preserve">展示品を整える</t>
  </si>
  <si>
    <t xml:space="preserve">会社情報の拠点写真と兼用</t>
  </si>
  <si>
    <t xml:space="preserve">30</t>
  </si>
  <si>
    <t xml:space="preserve">フロストの表面と植物の輪郭</t>
  </si>
  <si>
    <t xml:space="preserve">フロストガラス</t>
  </si>
  <si>
    <t xml:space="preserve">光の通り方と透け方</t>
  </si>
  <si>
    <t xml:space="preserve">横 4:3</t>
  </si>
  <si>
    <t xml:space="preserve">均一なマット面とぼけた葉</t>
  </si>
  <si>
    <t xml:space="preserve">フロストサンプル・植物</t>
  </si>
  <si>
    <r>
      <rPr>
        <sz val="10.5"/>
        <color rgb="FF1B2740"/>
        <rFont val="Noto Sans CJK SC"/>
        <family val="2"/>
      </rPr>
      <t xml:space="preserve">背景との距離を変えて</t>
    </r>
    <r>
      <rPr>
        <sz val="10.5"/>
        <color rgb="FF1B2740"/>
        <rFont val="Yu Gothic"/>
        <family val="0"/>
        <charset val="1"/>
      </rPr>
      <t xml:space="preserve">2</t>
    </r>
    <r>
      <rPr>
        <sz val="10.5"/>
        <color rgb="FF1B2740"/>
        <rFont val="Noto Sans CJK SC"/>
        <family val="2"/>
      </rPr>
      <t xml:space="preserve">案</t>
    </r>
  </si>
  <si>
    <t xml:space="preserve">31</t>
  </si>
  <si>
    <t xml:space="preserve">フロスト間仕切りのワークラウンジ</t>
  </si>
  <si>
    <t xml:space="preserve">採光と目隠しの両立</t>
  </si>
  <si>
    <t xml:space="preserve">細い枠の間仕切りと机</t>
  </si>
  <si>
    <t xml:space="preserve">社名・掲示物を写さない</t>
  </si>
  <si>
    <t xml:space="preserve">32</t>
  </si>
  <si>
    <t xml:space="preserve">型板ガラスの建具</t>
  </si>
  <si>
    <t xml:space="preserve">型板ガラス</t>
  </si>
  <si>
    <t xml:space="preserve">模様を取り入れる窓や建具</t>
  </si>
  <si>
    <t xml:space="preserve">建具越しの植物の輪郭</t>
  </si>
  <si>
    <t xml:space="preserve">模様の方向を記録</t>
  </si>
  <si>
    <t xml:space="preserve">33</t>
  </si>
  <si>
    <t xml:space="preserve">色を帯びた光</t>
  </si>
  <si>
    <t xml:space="preserve">カラーガラス</t>
  </si>
  <si>
    <t xml:space="preserve">光や背景による色の違い</t>
  </si>
  <si>
    <t xml:space="preserve">端部と壁に落ちる色</t>
  </si>
  <si>
    <t xml:space="preserve">夕方の光で撮影</t>
  </si>
  <si>
    <t xml:space="preserve">34</t>
  </si>
  <si>
    <t xml:space="preserve">カラーガラスの間仕切り</t>
  </si>
  <si>
    <t xml:space="preserve">内装のアクセント</t>
  </si>
  <si>
    <t xml:space="preserve">ギャラリーラウンジ全体</t>
  </si>
  <si>
    <t xml:space="preserve">35</t>
  </si>
  <si>
    <t xml:space="preserve">設計机のサンプルと計測具</t>
  </si>
  <si>
    <t xml:space="preserve">機能性ガラス</t>
  </si>
  <si>
    <t xml:space="preserve">用途に合わせた選び方</t>
  </si>
  <si>
    <t xml:space="preserve">独立したサンプル3枚と図面</t>
  </si>
  <si>
    <t xml:space="preserve">サンプル・ノギス</t>
  </si>
  <si>
    <t xml:space="preserve">性能を誤解させる演出をしない</t>
  </si>
  <si>
    <t xml:space="preserve">36</t>
  </si>
  <si>
    <t xml:space="preserve">固定窓から見る中庭</t>
  </si>
  <si>
    <t xml:space="preserve">使用する場所から条件を整理</t>
  </si>
  <si>
    <t xml:space="preserve">窓枠と中庭、手前にベンチ</t>
  </si>
  <si>
    <r>
      <rPr>
        <sz val="10.5"/>
        <color rgb="FF1B2740"/>
        <rFont val="Yu Gothic"/>
        <family val="0"/>
        <charset val="1"/>
      </rPr>
      <t xml:space="preserve">24</t>
    </r>
    <r>
      <rPr>
        <sz val="10.5"/>
        <color rgb="FF1B2740"/>
        <rFont val="Noto Sans CJK SC"/>
        <family val="2"/>
      </rPr>
      <t xml:space="preserve">と画角を変える</t>
    </r>
  </si>
  <si>
    <t xml:space="preserve">37</t>
  </si>
  <si>
    <t xml:space="preserve">中庭を望むオフィス</t>
  </si>
  <si>
    <t xml:space="preserve">施工イメージ</t>
  </si>
  <si>
    <t xml:space="preserve">施工事例1</t>
  </si>
  <si>
    <t xml:space="preserve">中庭とガラス面の全景</t>
  </si>
  <si>
    <t xml:space="preserve">施工先名の掲載可否を確認</t>
  </si>
  <si>
    <t xml:space="preserve">38</t>
  </si>
  <si>
    <t xml:space="preserve">ラウンジの間仕切り</t>
  </si>
  <si>
    <t xml:space="preserve">施工事例2</t>
  </si>
  <si>
    <t xml:space="preserve">ソファとガラスの間仕切り</t>
  </si>
  <si>
    <t xml:space="preserve">39</t>
  </si>
  <si>
    <t xml:space="preserve">庭に面したダイニング</t>
  </si>
  <si>
    <t xml:space="preserve">施工事例3</t>
  </si>
  <si>
    <t xml:space="preserve">テーブルと庭、開口部</t>
  </si>
  <si>
    <t xml:space="preserve">40</t>
  </si>
  <si>
    <t xml:space="preserve">端面と工具を置いた作業台</t>
  </si>
  <si>
    <t xml:space="preserve">技術と品質（見出し）／会社情報</t>
  </si>
  <si>
    <t xml:space="preserve">加工と品質管理</t>
  </si>
  <si>
    <t xml:space="preserve">作業台全体、ノギスを手前に</t>
  </si>
  <si>
    <t xml:space="preserve">加工工場／作業台</t>
  </si>
  <si>
    <t xml:space="preserve">D1-03</t>
  </si>
  <si>
    <t xml:space="preserve">工具・端材</t>
  </si>
  <si>
    <t xml:space="preserve">41</t>
  </si>
  <si>
    <t xml:space="preserve">磨いた端部の接写</t>
  </si>
  <si>
    <t xml:space="preserve">技術と品質</t>
  </si>
  <si>
    <t xml:space="preserve">切断と端部の仕上げ</t>
  </si>
  <si>
    <t xml:space="preserve">端部を斜めから</t>
  </si>
  <si>
    <t xml:space="preserve">加工済みの端材</t>
  </si>
  <si>
    <t xml:space="preserve">42</t>
  </si>
  <si>
    <t xml:space="preserve">反射で確かめる表面</t>
  </si>
  <si>
    <t xml:space="preserve">品質確認のポイント</t>
  </si>
  <si>
    <t xml:space="preserve">窓の反射が板に映る角度</t>
  </si>
  <si>
    <t xml:space="preserve">佐伯（写らない）</t>
  </si>
  <si>
    <t xml:space="preserve">加工工場／検査台</t>
  </si>
  <si>
    <t xml:space="preserve">D1-04</t>
  </si>
  <si>
    <t xml:space="preserve">検査台・照明</t>
  </si>
  <si>
    <t xml:space="preserve">43</t>
  </si>
  <si>
    <t xml:space="preserve">図面と透明・フロストのサンプル</t>
  </si>
  <si>
    <t xml:space="preserve">特注ガラスの相談に必要な情報</t>
  </si>
  <si>
    <t xml:space="preserve">図面とサンプル、鉛筆</t>
  </si>
  <si>
    <t xml:space="preserve">35と構図を変える</t>
  </si>
  <si>
    <t xml:space="preserve">44</t>
  </si>
  <si>
    <t xml:space="preserve">代表ポートレート</t>
  </si>
  <si>
    <t xml:space="preserve">会社情報（代表メッセージ）</t>
  </si>
  <si>
    <t xml:space="preserve">代表の人柄</t>
  </si>
  <si>
    <t xml:space="preserve">縦 4:5</t>
  </si>
  <si>
    <t xml:space="preserve">胸上。素材室を背景にぼかす</t>
  </si>
  <si>
    <t xml:space="preserve">代表・硝子</t>
  </si>
  <si>
    <t xml:space="preserve">本社／会議室</t>
  </si>
  <si>
    <t xml:space="preserve">D2-03</t>
  </si>
  <si>
    <t xml:space="preserve">服装を事前共有</t>
  </si>
  <si>
    <t xml:space="preserve">極端な美肌加工はしない</t>
  </si>
  <si>
    <t xml:space="preserve">45</t>
  </si>
  <si>
    <t xml:space="preserve">保護手袋で端部を確かめる手元</t>
  </si>
  <si>
    <t xml:space="preserve">採用情報（見出し）</t>
  </si>
  <si>
    <t xml:space="preserve">その一枚に人の仕事がある</t>
  </si>
  <si>
    <t xml:space="preserve">手元とガラスの端部</t>
  </si>
  <si>
    <t xml:space="preserve">D1-08</t>
  </si>
  <si>
    <t xml:space="preserve">切創防止手袋</t>
  </si>
  <si>
    <t xml:space="preserve">保護具を正しく着用</t>
  </si>
  <si>
    <t xml:space="preserve">46</t>
  </si>
  <si>
    <t xml:space="preserve">窓と中庭の読書室</t>
  </si>
  <si>
    <t xml:space="preserve">採用情報</t>
  </si>
  <si>
    <t xml:space="preserve">建築用ガラスメーカーの仕事</t>
  </si>
  <si>
    <t xml:space="preserve">書棚と窓、中庭</t>
  </si>
  <si>
    <r>
      <rPr>
        <sz val="10.5"/>
        <color rgb="FF1B2740"/>
        <rFont val="Yu Gothic"/>
        <family val="0"/>
        <charset val="1"/>
      </rPr>
      <t xml:space="preserve">17</t>
    </r>
    <r>
      <rPr>
        <sz val="10.5"/>
        <color rgb="FF1B2740"/>
        <rFont val="Noto Sans CJK SC"/>
        <family val="2"/>
      </rPr>
      <t xml:space="preserve">と画角を変える</t>
    </r>
  </si>
  <si>
    <t xml:space="preserve">47</t>
  </si>
  <si>
    <t xml:space="preserve">図面を確認する作業者</t>
  </si>
  <si>
    <t xml:space="preserve">採用情報（加工前から検査まで）</t>
  </si>
  <si>
    <t xml:space="preserve">加工前の確認</t>
  </si>
  <si>
    <t xml:space="preserve">作業台と図面、人物は中景</t>
  </si>
  <si>
    <t xml:space="preserve">製造部スタッフ</t>
  </si>
  <si>
    <t xml:space="preserve">加工工場／作業区域</t>
  </si>
  <si>
    <t xml:space="preserve">D1-01</t>
  </si>
  <si>
    <t xml:space="preserve">撮影用の図面</t>
  </si>
  <si>
    <t xml:space="preserve">図面は架空</t>
  </si>
  <si>
    <t xml:space="preserve">48</t>
  </si>
  <si>
    <t xml:space="preserve">岩城 端面の確認</t>
  </si>
  <si>
    <t xml:space="preserve">採用情報（インタビュー）</t>
  </si>
  <si>
    <t xml:space="preserve">端面ひとつで仕上がりは変わる</t>
  </si>
  <si>
    <t xml:space="preserve">保護具と手元、表情</t>
  </si>
  <si>
    <t xml:space="preserve">D1-05</t>
  </si>
  <si>
    <t xml:space="preserve">保護めがね・手袋</t>
  </si>
  <si>
    <r>
      <rPr>
        <sz val="10.5"/>
        <color rgb="FF1B2740"/>
        <rFont val="Yu Gothic"/>
        <family val="0"/>
        <charset val="1"/>
      </rPr>
      <t xml:space="preserve">45</t>
    </r>
    <r>
      <rPr>
        <sz val="10.5"/>
        <color rgb="FF1B2740"/>
        <rFont val="Noto Sans CJK SC"/>
        <family val="2"/>
      </rPr>
      <t xml:space="preserve">と構図を変える</t>
    </r>
  </si>
  <si>
    <t xml:space="preserve">49</t>
  </si>
  <si>
    <t xml:space="preserve">佐伯 ノギスで測る</t>
  </si>
  <si>
    <t xml:space="preserve">品質管理の仕事</t>
  </si>
  <si>
    <t xml:space="preserve">検査台と手元、表情</t>
  </si>
  <si>
    <t xml:space="preserve">佐伯</t>
  </si>
  <si>
    <t xml:space="preserve">D1-06</t>
  </si>
  <si>
    <t xml:space="preserve">ノギス・検査台</t>
  </si>
  <si>
    <t xml:space="preserve">測定値は架空と確認</t>
  </si>
  <si>
    <t xml:space="preserve">50</t>
  </si>
  <si>
    <t xml:space="preserve">森下 図面とサンプルで説明</t>
  </si>
  <si>
    <t xml:space="preserve">図面の言葉を製作の条件へ</t>
  </si>
  <si>
    <t xml:space="preserve">打ち合わせの相手は背中のみ</t>
  </si>
  <si>
    <t xml:space="preserve">森下・設計者役（社員）</t>
  </si>
  <si>
    <t xml:space="preserve">設計相談室</t>
  </si>
  <si>
    <t xml:space="preserve">D2-04</t>
  </si>
  <si>
    <t xml:space="preserve">サンプル・架空の図面</t>
  </si>
  <si>
    <t xml:space="preserve">相手役の顔は写さない</t>
  </si>
  <si>
    <t xml:space="preserve">51</t>
  </si>
  <si>
    <t xml:space="preserve">保護具を着けて働く工場</t>
  </si>
  <si>
    <t xml:space="preserve">採用情報／会社情報</t>
  </si>
  <si>
    <t xml:space="preserve">明るい工場と働く人</t>
  </si>
  <si>
    <t xml:space="preserve">作業区域全体、2人を中景</t>
  </si>
  <si>
    <t xml:space="preserve">製造部2名</t>
  </si>
  <si>
    <t xml:space="preserve">顔を出したくない人の位置を事前に確認</t>
  </si>
  <si>
    <r>
      <rPr>
        <b val="true"/>
        <sz val="18"/>
        <color rgb="FF1B2740"/>
        <rFont val="Yu Gothic"/>
        <family val="0"/>
        <charset val="1"/>
      </rPr>
      <t xml:space="preserve">3</t>
    </r>
    <r>
      <rPr>
        <b val="true"/>
        <sz val="18"/>
        <color rgb="FF1B2740"/>
        <rFont val="Noto Sans CJK SC"/>
        <family val="2"/>
      </rPr>
      <t xml:space="preserve">拠点 撮影香盤表</t>
    </r>
  </si>
  <si>
    <t xml:space="preserve">KASANE GLASS コーポレートサイト制作計画（デモ）｜撮影3日間のタイムテーブル</t>
  </si>
  <si>
    <r>
      <rPr>
        <sz val="10"/>
        <color rgb="FF4D5770"/>
        <rFont val="Yu Gothic"/>
        <family val="0"/>
        <charset val="1"/>
      </rPr>
      <t xml:space="preserve">1</t>
    </r>
    <r>
      <rPr>
        <sz val="10"/>
        <color rgb="FF4D5770"/>
        <rFont val="Noto Sans CJK SC"/>
        <family val="2"/>
      </rPr>
      <t xml:space="preserve">日目：ひかり加工工場 </t>
    </r>
    <r>
      <rPr>
        <sz val="10"/>
        <color rgb="FF4D5770"/>
        <rFont val="Yu Gothic"/>
        <family val="0"/>
        <charset val="1"/>
      </rPr>
      <t xml:space="preserve">8:30–17:30</t>
    </r>
    <r>
      <rPr>
        <sz val="10"/>
        <color rgb="FF4D5770"/>
        <rFont val="Noto Sans CJK SC"/>
        <family val="2"/>
      </rPr>
      <t xml:space="preserve">　</t>
    </r>
    <r>
      <rPr>
        <sz val="10"/>
        <color rgb="FF4D5770"/>
        <rFont val="Yu Gothic"/>
        <family val="0"/>
        <charset val="1"/>
      </rPr>
      <t xml:space="preserve">2</t>
    </r>
    <r>
      <rPr>
        <sz val="10"/>
        <color rgb="FF4D5770"/>
        <rFont val="Noto Sans CJK SC"/>
        <family val="2"/>
      </rPr>
      <t xml:space="preserve">日目：本社・設計相談室・かさね素材室 </t>
    </r>
    <r>
      <rPr>
        <sz val="10"/>
        <color rgb="FF4D5770"/>
        <rFont val="Yu Gothic"/>
        <family val="0"/>
        <charset val="1"/>
      </rPr>
      <t xml:space="preserve">9:00–17:30</t>
    </r>
    <r>
      <rPr>
        <sz val="10"/>
        <color rgb="FF4D5770"/>
        <rFont val="Noto Sans CJK SC"/>
        <family val="2"/>
      </rPr>
      <t xml:space="preserve">　</t>
    </r>
    <r>
      <rPr>
        <sz val="10"/>
        <color rgb="FF4D5770"/>
        <rFont val="Yu Gothic"/>
        <family val="0"/>
        <charset val="1"/>
      </rPr>
      <t xml:space="preserve">3</t>
    </r>
    <r>
      <rPr>
        <sz val="10"/>
        <color rgb="FF4D5770"/>
        <rFont val="Noto Sans CJK SC"/>
        <family val="2"/>
      </rPr>
      <t xml:space="preserve">日目：施工先</t>
    </r>
    <r>
      <rPr>
        <sz val="10"/>
        <color rgb="FF4D5770"/>
        <rFont val="Yu Gothic"/>
        <family val="0"/>
        <charset val="1"/>
      </rPr>
      <t xml:space="preserve">3</t>
    </r>
    <r>
      <rPr>
        <sz val="10"/>
        <color rgb="FF4D5770"/>
        <rFont val="Noto Sans CJK SC"/>
        <family val="2"/>
      </rPr>
      <t xml:space="preserve">件 </t>
    </r>
    <r>
      <rPr>
        <sz val="10"/>
        <color rgb="FF4D5770"/>
        <rFont val="Yu Gothic"/>
        <family val="0"/>
        <charset val="1"/>
      </rPr>
      <t xml:space="preserve">9:00–17:00</t>
    </r>
    <r>
      <rPr>
        <sz val="10"/>
        <color rgb="FF4D5770"/>
        <rFont val="Noto Sans CJK SC"/>
        <family val="2"/>
      </rPr>
      <t xml:space="preserve">。順序は仮設定。</t>
    </r>
  </si>
  <si>
    <t xml:space="preserve">2日目は自然光で素材を比べるため、物撮りを午前と夕方に分けています。3日目の施工先は、施主・設計者の許諾と立会いが取れた物件のみ。取れない場合はCG・素材で代替します。</t>
  </si>
  <si>
    <t xml:space="preserve">ガラスの取り扱いは製造部の手順に従い、制作班は板ガラスに触れません。海景色や造形などの抽象的な空間イメージ（写真ID 01・03・06・07・09）は撮影せずCG・素材で手配します。</t>
  </si>
  <si>
    <t xml:space="preserve">終了</t>
  </si>
  <si>
    <t xml:space="preserve">所要（分）</t>
  </si>
  <si>
    <t xml:space="preserve">出演者</t>
  </si>
  <si>
    <t xml:space="preserve">撮影場所</t>
  </si>
  <si>
    <t xml:space="preserve">補足・移動・休憩</t>
  </si>
  <si>
    <t xml:space="preserve">D1-00</t>
  </si>
  <si>
    <t xml:space="preserve">集合・安全説明・保護具の着用</t>
  </si>
  <si>
    <t xml:space="preserve">製造部・広報窓口・制作班</t>
  </si>
  <si>
    <t xml:space="preserve">加工工場／事務所</t>
  </si>
  <si>
    <t xml:space="preserve">立入範囲・ガラスに触れない範囲を確認</t>
  </si>
  <si>
    <t xml:space="preserve">広報窓口／全員</t>
  </si>
  <si>
    <t xml:space="preserve">工場全景・作業区域</t>
  </si>
  <si>
    <t xml:space="preserve">岩城・製造部2名</t>
  </si>
  <si>
    <r>
      <rPr>
        <sz val="10.5"/>
        <color rgb="FF1B2740"/>
        <rFont val="Yu Gothic"/>
        <family val="0"/>
        <charset val="1"/>
      </rPr>
      <t xml:space="preserve">47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51</t>
    </r>
  </si>
  <si>
    <t xml:space="preserve">保護具を着けた状態で撮影</t>
  </si>
  <si>
    <t xml:space="preserve">切断・端部加工</t>
  </si>
  <si>
    <t xml:space="preserve">加工中は設備の外側から</t>
  </si>
  <si>
    <t xml:space="preserve">カメラマン／製造部</t>
  </si>
  <si>
    <t xml:space="preserve">作業台と端面の接写</t>
  </si>
  <si>
    <r>
      <rPr>
        <sz val="10.5"/>
        <color rgb="FF1B2740"/>
        <rFont val="Yu Gothic"/>
        <family val="0"/>
        <charset val="1"/>
      </rPr>
      <t xml:space="preserve">40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41</t>
    </r>
  </si>
  <si>
    <t xml:space="preserve">加工済みの端材を使用</t>
  </si>
  <si>
    <t xml:space="preserve">D1-L1</t>
  </si>
  <si>
    <t xml:space="preserve">休憩・データ保存</t>
  </si>
  <si>
    <t xml:space="preserve">制作班</t>
  </si>
  <si>
    <t xml:space="preserve">加工工場／控室</t>
  </si>
  <si>
    <t xml:space="preserve">データを2系統に保存</t>
  </si>
  <si>
    <t xml:space="preserve">検査台での寸法・外観の確認</t>
  </si>
  <si>
    <t xml:space="preserve">照明の映り込みを確認しながら</t>
  </si>
  <si>
    <t xml:space="preserve">D1-L</t>
  </si>
  <si>
    <t xml:space="preserve">昼休憩・データ保存</t>
  </si>
  <si>
    <t xml:space="preserve">工場の昼休みに合わせる</t>
  </si>
  <si>
    <t xml:space="preserve">岩城 取材・撮影</t>
  </si>
  <si>
    <t xml:space="preserve">加工工場／会議室・作業台</t>
  </si>
  <si>
    <t xml:space="preserve">取材30分、撮影15分</t>
  </si>
  <si>
    <t xml:space="preserve">ライター／カメラマン</t>
  </si>
  <si>
    <t xml:space="preserve">佐伯 取材・撮影</t>
  </si>
  <si>
    <t xml:space="preserve">加工工場／会議室・検査台</t>
  </si>
  <si>
    <t xml:space="preserve">D1-07</t>
  </si>
  <si>
    <t xml:space="preserve">保管ラック・搬送</t>
  </si>
  <si>
    <t xml:space="preserve">加工工場／保管エリア</t>
  </si>
  <si>
    <t xml:space="preserve">搬送中は動線に入らない</t>
  </si>
  <si>
    <t xml:space="preserve">D1-L2</t>
  </si>
  <si>
    <t xml:space="preserve">休憩</t>
  </si>
  <si>
    <t xml:space="preserve">不足カットを確認</t>
  </si>
  <si>
    <t xml:space="preserve">手元・保護具のカット（採用）</t>
  </si>
  <si>
    <t xml:space="preserve">手袋・保護めがねの着用を確認</t>
  </si>
  <si>
    <t xml:space="preserve">D1-09</t>
  </si>
  <si>
    <t xml:space="preserve">予備・不足カット</t>
  </si>
  <si>
    <t xml:space="preserve">必要な出演者のみ</t>
  </si>
  <si>
    <t xml:space="preserve">加工工場／各所</t>
  </si>
  <si>
    <t xml:space="preserve">不足カット</t>
  </si>
  <si>
    <t xml:space="preserve">必要な出演者は当日正午までに相談</t>
  </si>
  <si>
    <t xml:space="preserve">D1-END</t>
  </si>
  <si>
    <t xml:space="preserve">映り込み確認・保存・撤収</t>
  </si>
  <si>
    <t xml:space="preserve">広報窓口・制作班</t>
  </si>
  <si>
    <t xml:space="preserve">図面・取引先名の映り込みを確認</t>
  </si>
  <si>
    <t xml:space="preserve">D2-00</t>
  </si>
  <si>
    <t xml:space="preserve">集合・物撮りのセット組み</t>
  </si>
  <si>
    <t xml:space="preserve">サンプルの扱いは技術営業課が担当</t>
  </si>
  <si>
    <t xml:space="preserve">ガラス5種の物撮り（午前の自然光）</t>
  </si>
  <si>
    <r>
      <rPr>
        <sz val="10.5"/>
        <color rgb="FF1B2740"/>
        <rFont val="Yu Gothic"/>
        <family val="0"/>
        <charset val="1"/>
      </rPr>
      <t xml:space="preserve">02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04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26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30</t>
    </r>
  </si>
  <si>
    <t xml:space="preserve">透明・フロスト・型板・端面の接写</t>
  </si>
  <si>
    <t xml:space="preserve">サンプルと図面の静物</t>
  </si>
  <si>
    <r>
      <rPr>
        <sz val="10.5"/>
        <color rgb="FF1B2740"/>
        <rFont val="Yu Gothic"/>
        <family val="0"/>
        <charset val="1"/>
      </rPr>
      <t xml:space="preserve">12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13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15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35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43</t>
    </r>
  </si>
  <si>
    <t xml:space="preserve">撮影用の架空図面を使用</t>
  </si>
  <si>
    <t xml:space="preserve">D2-L</t>
  </si>
  <si>
    <t xml:space="preserve">本社／控室</t>
  </si>
  <si>
    <t xml:space="preserve">午後の出演者到着を確認</t>
  </si>
  <si>
    <t xml:space="preserve">代表取材・ポートレート</t>
  </si>
  <si>
    <t xml:space="preserve">取材25分、撮影20分</t>
  </si>
  <si>
    <t xml:space="preserve">森下 取材・打ち合わせの撮影</t>
  </si>
  <si>
    <t xml:space="preserve">D2-L2</t>
  </si>
  <si>
    <t xml:space="preserve">機材を素材室へ移動</t>
  </si>
  <si>
    <t xml:space="preserve">ショールーム・素材室の空間</t>
  </si>
  <si>
    <r>
      <rPr>
        <sz val="10.5"/>
        <color rgb="FF1B2740"/>
        <rFont val="Yu Gothic"/>
        <family val="0"/>
        <charset val="1"/>
      </rPr>
      <t xml:space="preserve">19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21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22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23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29</t>
    </r>
  </si>
  <si>
    <t xml:space="preserve">製品ページの見出し写真を含む</t>
  </si>
  <si>
    <t xml:space="preserve">夕方の光での素材比較</t>
  </si>
  <si>
    <r>
      <rPr>
        <sz val="10.5"/>
        <color rgb="FF1B2740"/>
        <rFont val="Yu Gothic"/>
        <family val="0"/>
        <charset val="1"/>
      </rPr>
      <t xml:space="preserve">11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33</t>
    </r>
  </si>
  <si>
    <t xml:space="preserve">色の光・植物越しの見え方</t>
  </si>
  <si>
    <t xml:space="preserve">D2-END</t>
  </si>
  <si>
    <t xml:space="preserve">撮影済みの写真IDをチェック</t>
  </si>
  <si>
    <t xml:space="preserve">D3-00</t>
  </si>
  <si>
    <t xml:space="preserve">施工先A 集合・立会い確認</t>
  </si>
  <si>
    <t xml:space="preserve">施工先担当者・森下</t>
  </si>
  <si>
    <t xml:space="preserve">撮影範囲・家具の移動可否を確認</t>
  </si>
  <si>
    <t xml:space="preserve">施工先A オフィスの間仕切り・中庭</t>
  </si>
  <si>
    <r>
      <rPr>
        <sz val="10.5"/>
        <color rgb="FF1B2740"/>
        <rFont val="Yu Gothic"/>
        <family val="0"/>
        <charset val="1"/>
      </rPr>
      <t xml:space="preserve">05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20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28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31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37</t>
    </r>
  </si>
  <si>
    <t xml:space="preserve">社名・掲示物・PC画面を写さない</t>
  </si>
  <si>
    <t xml:space="preserve">D3-L1</t>
  </si>
  <si>
    <t xml:space="preserve">原状回復・移動・昼休憩</t>
  </si>
  <si>
    <t xml:space="preserve">移動</t>
  </si>
  <si>
    <t xml:space="preserve">移動時間は施工先の場所で再設定</t>
  </si>
  <si>
    <t xml:space="preserve">施工先B ラウンジ・建具</t>
  </si>
  <si>
    <r>
      <rPr>
        <sz val="10.5"/>
        <color rgb="FF1B2740"/>
        <rFont val="Yu Gothic"/>
        <family val="0"/>
        <charset val="1"/>
      </rPr>
      <t xml:space="preserve">17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32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38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46</t>
    </r>
  </si>
  <si>
    <t xml:space="preserve">営業時間外または休業日に設定</t>
  </si>
  <si>
    <t xml:space="preserve">D3-L2</t>
  </si>
  <si>
    <t xml:space="preserve">原状回復・移動</t>
  </si>
  <si>
    <t xml:space="preserve">施工先C 住宅のダイニング・開口部</t>
  </si>
  <si>
    <r>
      <rPr>
        <sz val="10.5"/>
        <color rgb="FF1B2740"/>
        <rFont val="Yu Gothic"/>
        <family val="0"/>
        <charset val="1"/>
      </rPr>
      <t xml:space="preserve">08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16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18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25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27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36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39</t>
    </r>
  </si>
  <si>
    <t xml:space="preserve">私物・表札・外の住宅を写さない</t>
  </si>
  <si>
    <t xml:space="preserve">D3-END</t>
  </si>
  <si>
    <t xml:space="preserve">映り込み確認・原状回復・撤収</t>
  </si>
  <si>
    <t xml:space="preserve">施工先担当者・制作班</t>
  </si>
  <si>
    <t xml:space="preserve">撮影画像を施工先と一緒に確認</t>
  </si>
  <si>
    <t xml:space="preserve">事前準備・出演者・取材テーマ</t>
  </si>
  <si>
    <t xml:space="preserve">KASANE GLASS コーポレートサイト制作計画（デモ）｜企業側の準備・出演者・取材テーマ</t>
  </si>
  <si>
    <t xml:space="preserve">会社・人物・製品・日付はデモ設定。実案件では担当者名、勤務、許諾を確認して更新。</t>
  </si>
  <si>
    <t xml:space="preserve">建築用ガラスは仕様・性能の表記に根拠資料が必要です。施工先の写真は施主・設計者の許諾を得た物件のみ掲載します。</t>
  </si>
  <si>
    <t xml:space="preserve">開始日と撮影日は制作工程表と連動。出演者の参加時間は撮影準備段階で再確認。</t>
  </si>
  <si>
    <t xml:space="preserve">確認・準備する内容</t>
  </si>
  <si>
    <t xml:space="preserve">実行担当</t>
  </si>
  <si>
    <t xml:space="preserve">確認相手</t>
  </si>
  <si>
    <t xml:space="preserve">締切</t>
  </si>
  <si>
    <t xml:space="preserve">対応内容</t>
  </si>
  <si>
    <t xml:space="preserve">P01</t>
  </si>
  <si>
    <t xml:space="preserve">会社資料</t>
  </si>
  <si>
    <t xml:space="preserve">会社概要・沿革・拠点・従業員数</t>
  </si>
  <si>
    <t xml:space="preserve">会社案内・パンフレットなど根拠資料を提供</t>
  </si>
  <si>
    <t xml:space="preserve">P02</t>
  </si>
  <si>
    <t xml:space="preserve">製品資料</t>
  </si>
  <si>
    <t xml:space="preserve">製品5種の仕様表・カタログ・用語</t>
  </si>
  <si>
    <t xml:space="preserve">掲載する項目と掲載しない項目を分ける</t>
  </si>
  <si>
    <t xml:space="preserve">P03</t>
  </si>
  <si>
    <t xml:space="preserve">性能値</t>
  </si>
  <si>
    <t xml:space="preserve">断熱・遮音・安全などの数値と根拠</t>
  </si>
  <si>
    <t xml:space="preserve">試験成績書などの根拠がない数値は載せない</t>
  </si>
  <si>
    <t xml:space="preserve">P04</t>
  </si>
  <si>
    <t xml:space="preserve">施工先</t>
  </si>
  <si>
    <t xml:space="preserve">撮影できる施工先3件の候補と許諾</t>
  </si>
  <si>
    <t xml:space="preserve">施主・設計者の掲載許諾、物件名の表記可否</t>
  </si>
  <si>
    <t xml:space="preserve">P05</t>
  </si>
  <si>
    <t xml:space="preserve">出演者・所属・ふりがな・参加可能時間</t>
  </si>
  <si>
    <t xml:space="preserve">下部の出演者設定を確認</t>
  </si>
  <si>
    <t xml:space="preserve">P06</t>
  </si>
  <si>
    <t xml:space="preserve">撮影許諾</t>
  </si>
  <si>
    <t xml:space="preserve">写真・発言の使用範囲と許諾</t>
  </si>
  <si>
    <t xml:space="preserve">出演者・代表</t>
  </si>
  <si>
    <t xml:space="preserve">サイト・採用活動・営業資料での使用範囲を説明</t>
  </si>
  <si>
    <t xml:space="preserve">P07</t>
  </si>
  <si>
    <t xml:space="preserve">安全</t>
  </si>
  <si>
    <t xml:space="preserve">保護具・立入範囲・ガラスの取り扱い</t>
  </si>
  <si>
    <t xml:space="preserve">制作班はガラスに触れない。必要な保護具を確認</t>
  </si>
  <si>
    <t xml:space="preserve">P08</t>
  </si>
  <si>
    <t xml:space="preserve">サンプル</t>
  </si>
  <si>
    <t xml:space="preserve">物撮り用のサンプル5種・支持金物</t>
  </si>
  <si>
    <t xml:space="preserve">傷のないサンプルを用意。撮影後の返却方法を決める</t>
  </si>
  <si>
    <t xml:space="preserve">P09</t>
  </si>
  <si>
    <t xml:space="preserve">服装</t>
  </si>
  <si>
    <t xml:space="preserve">作業着・保護具・名札の統一</t>
  </si>
  <si>
    <t xml:space="preserve">個人名の名札は撮影用へ変更</t>
  </si>
  <si>
    <t xml:space="preserve">P10</t>
  </si>
  <si>
    <t xml:space="preserve">予備対応</t>
  </si>
  <si>
    <t xml:space="preserve">雨天・施工先の都合・欠席時の代替</t>
  </si>
  <si>
    <t xml:space="preserve">施工先は予備撮影日、撮れない場合はCGで代替</t>
  </si>
  <si>
    <t xml:space="preserve">P11</t>
  </si>
  <si>
    <t xml:space="preserve">採用条件</t>
  </si>
  <si>
    <t xml:space="preserve">募集職種・給与・勤務地・応募資格</t>
  </si>
  <si>
    <t xml:space="preserve">掲載する場合は最新の求人票と一致させる</t>
  </si>
  <si>
    <t xml:space="preserve">P12</t>
  </si>
  <si>
    <t xml:space="preserve">経歴・発言・仕様表記・写真の確認</t>
  </si>
  <si>
    <t xml:space="preserve">修正を窓口で集約</t>
  </si>
  <si>
    <t xml:space="preserve">P13</t>
  </si>
  <si>
    <t xml:space="preserve">フォーム</t>
  </si>
  <si>
    <t xml:space="preserve">問い合わせの受信先・項目・自動返信文</t>
  </si>
  <si>
    <t xml:space="preserve">素材別の相談項目と受信テストの宛先を決める</t>
  </si>
  <si>
    <t xml:space="preserve">P14</t>
  </si>
  <si>
    <t xml:space="preserve">公開承認</t>
  </si>
  <si>
    <t xml:space="preserve">表記・許諾・フォーム受信先の最終確認</t>
  </si>
  <si>
    <t xml:space="preserve">全確認後に公開承認</t>
  </si>
  <si>
    <t xml:space="preserve">出演者設定と参加時間（撮影・取材に必要な時間帯）</t>
  </si>
  <si>
    <t xml:space="preserve">呼称</t>
  </si>
  <si>
    <t xml:space="preserve">人物設定</t>
  </si>
  <si>
    <t xml:space="preserve">勤務先</t>
  </si>
  <si>
    <t xml:space="preserve">参加時間帯</t>
  </si>
  <si>
    <t xml:space="preserve">出演内容・写真ID</t>
  </si>
  <si>
    <t xml:space="preserve">服装・保護具</t>
  </si>
  <si>
    <t xml:space="preserve">取材テーマ・確認</t>
  </si>
  <si>
    <t xml:space="preserve">硝子</t>
  </si>
  <si>
    <t xml:space="preserve">代表取締役</t>
  </si>
  <si>
    <t xml:space="preserve">本社</t>
  </si>
  <si>
    <t xml:space="preserve">D2 12:45–13:30</t>
  </si>
  <si>
    <t xml:space="preserve">代表取材／44</t>
  </si>
  <si>
    <t xml:space="preserve">ジャケット</t>
  </si>
  <si>
    <t xml:space="preserve">相談の受け止め方／曖昧なまま製作へ進めない理由</t>
  </si>
  <si>
    <t xml:space="preserve">製造部・加工課／入社28年目</t>
  </si>
  <si>
    <t xml:space="preserve">加工工場</t>
  </si>
  <si>
    <r>
      <rPr>
        <sz val="10.5"/>
        <color rgb="FF1B2740"/>
        <rFont val="Yu Gothic"/>
        <family val="0"/>
        <charset val="1"/>
      </rPr>
      <t xml:space="preserve">D1 9:00–11:00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13:00–13:45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15:15–16:00</t>
    </r>
  </si>
  <si>
    <t xml:space="preserve">加工・取材／10・45・47・48</t>
  </si>
  <si>
    <t xml:space="preserve">作業着・保護めがね・切創防止手袋</t>
  </si>
  <si>
    <t xml:space="preserve">端部の仕上げ／作業前に読み直すこと</t>
  </si>
  <si>
    <t xml:space="preserve">品質管理課／入社7年目</t>
  </si>
  <si>
    <r>
      <rPr>
        <sz val="10.5"/>
        <color rgb="FF1B2740"/>
        <rFont val="Yu Gothic"/>
        <family val="0"/>
        <charset val="1"/>
      </rPr>
      <t xml:space="preserve">D1 11:15–12:00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13:45–14:30</t>
    </r>
  </si>
  <si>
    <t xml:space="preserve">検査・取材／42・49</t>
  </si>
  <si>
    <t xml:space="preserve">作業着・保護めがね・白手袋</t>
  </si>
  <si>
    <t xml:space="preserve">見る場所と測る場所／記録のそろえ方</t>
  </si>
  <si>
    <t xml:space="preserve">森下</t>
  </si>
  <si>
    <t xml:space="preserve">技術営業課／入社4年目</t>
  </si>
  <si>
    <r>
      <rPr>
        <sz val="10.5"/>
        <color rgb="FF1B2740"/>
        <rFont val="Yu Gothic"/>
        <family val="0"/>
        <charset val="1"/>
      </rPr>
      <t xml:space="preserve">D2 9:00–9:30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13:30–14:15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D3 </t>
    </r>
    <r>
      <rPr>
        <sz val="10.5"/>
        <color rgb="FF1B2740"/>
        <rFont val="Noto Sans CJK SC"/>
        <family val="2"/>
      </rPr>
      <t xml:space="preserve">終日</t>
    </r>
  </si>
  <si>
    <t xml:space="preserve">打ち合わせ・取材／50、施工先の立会い</t>
  </si>
  <si>
    <t xml:space="preserve">シャツ・ジャケット</t>
  </si>
  <si>
    <t xml:space="preserve">希望を仕様に置き換える前に聞くこと</t>
  </si>
  <si>
    <t xml:space="preserve">製造部・加工課</t>
  </si>
  <si>
    <r>
      <rPr>
        <sz val="10.5"/>
        <color rgb="FF1B2740"/>
        <rFont val="Yu Gothic"/>
        <family val="0"/>
        <charset val="1"/>
      </rPr>
      <t xml:space="preserve">D1 9:00–9:45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14:30–15:00</t>
    </r>
  </si>
  <si>
    <t xml:space="preserve">工場全景・搬送／47・51</t>
  </si>
  <si>
    <t xml:space="preserve">作業着・保護具一式</t>
  </si>
  <si>
    <t xml:space="preserve">顔を出したくない場合は位置を調整</t>
  </si>
  <si>
    <t xml:space="preserve">設計者役</t>
  </si>
  <si>
    <t xml:space="preserve">社員が代役（顔は写さない）</t>
  </si>
  <si>
    <t xml:space="preserve">D2 13:30–14:15</t>
  </si>
  <si>
    <t xml:space="preserve">打ち合わせの相手役／50</t>
  </si>
  <si>
    <t xml:space="preserve">私服</t>
  </si>
  <si>
    <t xml:space="preserve">背中・手元のみ</t>
  </si>
  <si>
    <t xml:space="preserve">施工先担当者</t>
  </si>
  <si>
    <t xml:space="preserve">施工先の管理者・施主</t>
  </si>
  <si>
    <r>
      <rPr>
        <sz val="10.5"/>
        <color rgb="FF1B2740"/>
        <rFont val="Yu Gothic"/>
        <family val="0"/>
        <charset val="1"/>
      </rPr>
      <t xml:space="preserve">D3 </t>
    </r>
    <r>
      <rPr>
        <sz val="10.5"/>
        <color rgb="FF1B2740"/>
        <rFont val="Noto Sans CJK SC"/>
        <family val="2"/>
      </rPr>
      <t xml:space="preserve">各物件の撮影中</t>
    </r>
  </si>
  <si>
    <t xml:space="preserve">立会い</t>
  </si>
  <si>
    <t xml:space="preserve">撮影範囲・家具の移動・掲載表記を確認</t>
  </si>
  <si>
    <t xml:space="preserve">取材質問案（回答・原稿は別途制作）</t>
  </si>
  <si>
    <t xml:space="preserve">対象</t>
  </si>
  <si>
    <t xml:space="preserve">質問No.</t>
  </si>
  <si>
    <t xml:space="preserve">質問</t>
  </si>
  <si>
    <t xml:space="preserve">設計者や施工担当者から相談を受けるとき、最初に確かめることは？</t>
  </si>
  <si>
    <t xml:space="preserve">見た目の希望だけで製作に進めないのはなぜですか？</t>
  </si>
  <si>
    <t xml:space="preserve">素材室・設計相談室をつくった理由を教えてください。</t>
  </si>
  <si>
    <t xml:space="preserve">品質への取り組みで、いま改善していることは？</t>
  </si>
  <si>
    <t xml:space="preserve">初めて相談する方に、先に用意してほしい情報は？</t>
  </si>
  <si>
    <t xml:space="preserve">いまの仕事の担当範囲を教えてください。</t>
  </si>
  <si>
    <t xml:space="preserve">図面と依頼内容が違っていた場面で、どう動きましたか？</t>
  </si>
  <si>
    <t xml:space="preserve">慣れた加工でも作業前に読み直すことは？</t>
  </si>
  <si>
    <t xml:space="preserve">次の工程の人へ引き継ぐときに気をつけることは？</t>
  </si>
  <si>
    <t xml:space="preserve">検査では、寸法のほかに何を確かめていますか？</t>
  </si>
  <si>
    <t xml:space="preserve">判断に迷ったとき、誰とどう確認しましたか？</t>
  </si>
  <si>
    <t xml:space="preserve">結果を記録するときに工夫していることは？</t>
  </si>
  <si>
    <t xml:space="preserve">1日の流れを時間ごとに教えてください。</t>
  </si>
  <si>
    <t xml:space="preserve">設計者の希望を、どのように仕様へ整理していますか？</t>
  </si>
  <si>
    <t xml:space="preserve">サンプルを並べて比較した印象に残る相談は？</t>
  </si>
  <si>
    <t xml:space="preserve">決まった点と未定の点をどう記録していますか？</t>
  </si>
  <si>
    <t xml:space="preserve">技術営業の仕事に向いているのはどんな人ですか？</t>
  </si>
  <si>
    <r>
      <rPr>
        <b val="true"/>
        <sz val="18"/>
        <color rgb="FF1B2740"/>
        <rFont val="Yu Gothic"/>
        <family val="0"/>
        <charset val="1"/>
      </rPr>
      <t xml:space="preserve">13</t>
    </r>
    <r>
      <rPr>
        <b val="true"/>
        <sz val="18"/>
        <color rgb="FF1B2740"/>
        <rFont val="Noto Sans CJK SC"/>
        <family val="2"/>
      </rPr>
      <t xml:space="preserve">ページ サイト構成と写真の対応</t>
    </r>
  </si>
  <si>
    <t xml:space="preserve">KASANE GLASS コーポレートサイト制作計画（デモ）｜13ページの構成と写真の対応</t>
  </si>
  <si>
    <t xml:space="preserve">KASANE GLASS：建築用ガラスの素材相談・加工、従業員32名、本社・加工工場・素材室の3拠点。すべて架空の設定。</t>
  </si>
  <si>
    <t xml:space="preserve">白とガラスの淡い色を基調に、光で素材を選ぶ構成。製品ページは5種共通の型で、仕様一覧と関連ガラスへつなぐ。</t>
  </si>
  <si>
    <t xml:space="preserve">全13ページの原稿・写真・素材比較機能・サイト初版を制作。写真カット見本と掲載先を照らし合わせて確認できます。</t>
  </si>
  <si>
    <t xml:space="preserve">ページID</t>
  </si>
  <si>
    <t xml:space="preserve">ページ</t>
  </si>
  <si>
    <t xml:space="preserve">見出し</t>
  </si>
  <si>
    <t xml:space="preserve">掲載内容</t>
  </si>
  <si>
    <t xml:space="preserve">記事・表示の条件</t>
  </si>
  <si>
    <t xml:space="preserve">次の導線</t>
  </si>
  <si>
    <t xml:space="preserve">光を編み、空間に奥行きを。</t>
  </si>
  <si>
    <t xml:space="preserve">コンセプト／製品比較／空間イメージ／技術／相談から納品まで／長く使う</t>
  </si>
  <si>
    <t xml:space="preserve">01–15</t>
  </si>
  <si>
    <t xml:space="preserve">製品比較はガラス板をドラッグ</t>
  </si>
  <si>
    <t xml:space="preserve">製品・相談へ</t>
  </si>
  <si>
    <t xml:space="preserve">ガラスの向こうまで、考える。</t>
  </si>
  <si>
    <t xml:space="preserve">素材選びで重視すること／光と視線／設計初期から相談する理由</t>
  </si>
  <si>
    <t xml:space="preserve">16–18</t>
  </si>
  <si>
    <t xml:space="preserve">代表の考えを中心に構成</t>
  </si>
  <si>
    <t xml:space="preserve">相談へ</t>
  </si>
  <si>
    <t xml:space="preserve">製品一覧</t>
  </si>
  <si>
    <t xml:space="preserve">光で選ぶ、ガラスの標本室。</t>
  </si>
  <si>
    <t xml:space="preserve">5種類のガラス／選び方の3つのポイント</t>
  </si>
  <si>
    <t xml:space="preserve">19–25</t>
  </si>
  <si>
    <t xml:space="preserve">5種の順番と名称を統一</t>
  </si>
  <si>
    <t xml:space="preserve">各製品へ</t>
  </si>
  <si>
    <t xml:space="preserve">光と風景を、そのまま室内へ。</t>
  </si>
  <si>
    <r>
      <rPr>
        <sz val="10.5"/>
        <color rgb="FF1B2740"/>
        <rFont val="Yu Gothic"/>
        <family val="0"/>
        <charset val="1"/>
      </rPr>
      <t xml:space="preserve">3</t>
    </r>
    <r>
      <rPr>
        <sz val="10.5"/>
        <color rgb="FF1B2740"/>
        <rFont val="Noto Sans CJK SC"/>
        <family val="2"/>
      </rPr>
      <t xml:space="preserve">つの特徴／使われる場所／設計時の確認／仕様一覧</t>
    </r>
  </si>
  <si>
    <r>
      <rPr>
        <sz val="10.5"/>
        <color rgb="FF1B2740"/>
        <rFont val="Yu Gothic"/>
        <family val="0"/>
        <charset val="1"/>
      </rPr>
      <t xml:space="preserve">20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26–29</t>
    </r>
  </si>
  <si>
    <t xml:space="preserve">仕様一覧は技術営業課が確認</t>
  </si>
  <si>
    <t xml:space="preserve">関連ガラス・相談へ</t>
  </si>
  <si>
    <t xml:space="preserve">光を取り込み、視線をやわらげる。</t>
  </si>
  <si>
    <t xml:space="preserve">光の通り方／使う場所／選定時の確認／仕様一覧</t>
  </si>
  <si>
    <r>
      <rPr>
        <sz val="10.5"/>
        <color rgb="FF1B2740"/>
        <rFont val="Yu Gothic"/>
        <family val="0"/>
        <charset val="1"/>
      </rPr>
      <t xml:space="preserve">21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30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31</t>
    </r>
  </si>
  <si>
    <t xml:space="preserve">透け方は写真と言葉の両方で説明</t>
  </si>
  <si>
    <t xml:space="preserve">表面の凹凸が、光の見え方を変える。</t>
  </si>
  <si>
    <t xml:space="preserve">模様と光／使う場所／選定時の確認／仕様一覧</t>
  </si>
  <si>
    <r>
      <rPr>
        <sz val="10.5"/>
        <color rgb="FF1B2740"/>
        <rFont val="Yu Gothic"/>
        <family val="0"/>
        <charset val="1"/>
      </rPr>
      <t xml:space="preserve">22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32</t>
    </r>
  </si>
  <si>
    <t xml:space="preserve">模様の種類は実際の取り扱いに合わせる</t>
  </si>
  <si>
    <t xml:space="preserve">光を通して、空間に色を重ねる。</t>
  </si>
  <si>
    <t xml:space="preserve">光や背景による色の違い／内装／確認事項／仕様一覧</t>
  </si>
  <si>
    <r>
      <rPr>
        <sz val="10.5"/>
        <color rgb="FF1B2740"/>
        <rFont val="Yu Gothic"/>
        <family val="0"/>
        <charset val="1"/>
      </rPr>
      <t xml:space="preserve">23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33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34</t>
    </r>
  </si>
  <si>
    <t xml:space="preserve">画面の色と実物の差を注記</t>
  </si>
  <si>
    <t xml:space="preserve">求める性能から、ガラスを選ぶ。</t>
  </si>
  <si>
    <t xml:space="preserve">選び方／断熱・遮音・安全／使う場所／仕様一覧</t>
  </si>
  <si>
    <r>
      <rPr>
        <sz val="10.5"/>
        <color rgb="FF1B2740"/>
        <rFont val="Yu Gothic"/>
        <family val="0"/>
        <charset val="1"/>
      </rPr>
      <t xml:space="preserve">24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35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36</t>
    </r>
  </si>
  <si>
    <t xml:space="preserve">性能値は根拠資料があるもののみ</t>
  </si>
  <si>
    <t xml:space="preserve">ガラスを使った空間イメージ</t>
  </si>
  <si>
    <t xml:space="preserve">オフィス／ラウンジ／住宅</t>
  </si>
  <si>
    <t xml:space="preserve">37–39</t>
  </si>
  <si>
    <t xml:space="preserve">施工先名は許諾がある場合のみ</t>
  </si>
  <si>
    <t xml:space="preserve">素材選びの相談へ</t>
  </si>
  <si>
    <t xml:space="preserve">ガラスの加工と品質管理</t>
  </si>
  <si>
    <t xml:space="preserve">切断・穴あけ・端部処理／品質確認／特注の相談／用意する情報</t>
  </si>
  <si>
    <t xml:space="preserve">40–43</t>
  </si>
  <si>
    <t xml:space="preserve">加工精度などの数値は確認後に掲載</t>
  </si>
  <si>
    <t xml:space="preserve">会社情報</t>
  </si>
  <si>
    <t xml:space="preserve">光と空間のあいだを、一枚のガラスでつなぐ。</t>
  </si>
  <si>
    <t xml:space="preserve">代表メッセージ／数字／概要／沿革／拠点／品質</t>
  </si>
  <si>
    <r>
      <rPr>
        <sz val="10.5"/>
        <color rgb="FF1B2740"/>
        <rFont val="Yu Gothic"/>
        <family val="0"/>
        <charset val="1"/>
      </rPr>
      <t xml:space="preserve">29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40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44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51</t>
    </r>
  </si>
  <si>
    <t xml:space="preserve">沿革・数字は会社資料で確認</t>
  </si>
  <si>
    <t xml:space="preserve">技術・相談へ</t>
  </si>
  <si>
    <t xml:space="preserve">その一枚に、人の仕事がある。</t>
  </si>
  <si>
    <r>
      <rPr>
        <sz val="10.5"/>
        <color rgb="FF1B2740"/>
        <rFont val="Noto Sans CJK SC"/>
        <family val="2"/>
      </rPr>
      <t xml:space="preserve">仕事を知る／加工前から検査まで／インタビュー</t>
    </r>
    <r>
      <rPr>
        <sz val="10.5"/>
        <color rgb="FF1B2740"/>
        <rFont val="Yu Gothic"/>
        <family val="0"/>
        <charset val="1"/>
      </rPr>
      <t xml:space="preserve">3</t>
    </r>
    <r>
      <rPr>
        <sz val="10.5"/>
        <color rgb="FF1B2740"/>
        <rFont val="Noto Sans CJK SC"/>
        <family val="2"/>
      </rPr>
      <t xml:space="preserve">名／基礎知識</t>
    </r>
  </si>
  <si>
    <r>
      <rPr>
        <sz val="10.5"/>
        <color rgb="FF1B2740"/>
        <rFont val="Yu Gothic"/>
        <family val="0"/>
        <charset val="1"/>
      </rPr>
      <t xml:space="preserve">12–15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45–51</t>
    </r>
  </si>
  <si>
    <t xml:space="preserve">募集条件を掲載する場合は求人票と一致</t>
  </si>
  <si>
    <t xml:space="preserve">製品・技術へ</t>
  </si>
  <si>
    <t xml:space="preserve">お問い合わせ</t>
  </si>
  <si>
    <t xml:space="preserve">相談する素材／よくある質問／入力・確認・完了</t>
  </si>
  <si>
    <t xml:space="preserve">受信先・自動返信を確定</t>
  </si>
  <si>
    <t xml:space="preserve">完了画面</t>
  </si>
  <si>
    <t xml:space="preserve">写真51点 カット見本</t>
  </si>
  <si>
    <t xml:space="preserve">KASANE GLASS コーポレートサイト制作計画（デモ）｜撮影指示書の写真IDと対応</t>
  </si>
  <si>
    <t xml:space="preserve">写真はAI生成です。デモサイトで使った50点を、撮影指示書の写真IDと対応させて表示しています（44 代表ポートレートは見本なし）。施工先・人物・作業は実際の撮影前に確認します。</t>
  </si>
  <si>
    <r>
      <rPr>
        <b val="true"/>
        <sz val="10"/>
        <color rgb="FFFFFFFF"/>
        <rFont val="Yu Gothic"/>
        <family val="0"/>
        <charset val="1"/>
      </rPr>
      <t xml:space="preserve">01 </t>
    </r>
    <r>
      <rPr>
        <b val="true"/>
        <sz val="10"/>
        <color rgb="FFFFFFFF"/>
        <rFont val="Noto Sans CJK SC"/>
        <family val="2"/>
      </rPr>
      <t xml:space="preserve">海と山を望む建築とガラス（</t>
    </r>
    <r>
      <rPr>
        <b val="true"/>
        <sz val="10"/>
        <color rgb="FFFFFFFF"/>
        <rFont val="Yu Gothic"/>
        <family val="0"/>
        <charset val="1"/>
      </rPr>
      <t xml:space="preserve">FV</t>
    </r>
    <r>
      <rPr>
        <b val="true"/>
        <sz val="10"/>
        <color rgb="FFFFFFFF"/>
        <rFont val="Noto Sans CJK SC"/>
        <family val="2"/>
      </rPr>
      <t xml:space="preserve">）</t>
    </r>
  </si>
  <si>
    <r>
      <rPr>
        <b val="true"/>
        <sz val="10"/>
        <color rgb="FFFFFFFF"/>
        <rFont val="Yu Gothic"/>
        <family val="0"/>
        <charset val="1"/>
      </rPr>
      <t xml:space="preserve">02 </t>
    </r>
    <r>
      <rPr>
        <b val="true"/>
        <sz val="10"/>
        <color rgb="FFFFFFFF"/>
        <rFont val="Noto Sans CJK SC"/>
        <family val="2"/>
      </rPr>
      <t xml:space="preserve">型板ガラスの表面</t>
    </r>
  </si>
  <si>
    <r>
      <rPr>
        <b val="true"/>
        <sz val="10"/>
        <color rgb="FFFFFFFF"/>
        <rFont val="Yu Gothic"/>
        <family val="0"/>
        <charset val="1"/>
      </rPr>
      <t xml:space="preserve">03 </t>
    </r>
    <r>
      <rPr>
        <b val="true"/>
        <sz val="10"/>
        <color rgb="FFFFFFFF"/>
        <rFont val="Noto Sans CJK SC"/>
        <family val="2"/>
      </rPr>
      <t xml:space="preserve">ガラスの造形</t>
    </r>
  </si>
  <si>
    <t xml:space="preserve">掲載先：トップ（CG）</t>
  </si>
  <si>
    <t xml:space="preserve">掲載先：トップ</t>
  </si>
  <si>
    <r>
      <rPr>
        <b val="true"/>
        <sz val="10"/>
        <color rgb="FFFFFFFF"/>
        <rFont val="Yu Gothic"/>
        <family val="0"/>
        <charset val="1"/>
      </rPr>
      <t xml:space="preserve">04 </t>
    </r>
    <r>
      <rPr>
        <b val="true"/>
        <sz val="10"/>
        <color rgb="FFFFFFFF"/>
        <rFont val="Noto Sans CJK SC"/>
        <family val="2"/>
      </rPr>
      <t xml:space="preserve">端面に差す光</t>
    </r>
  </si>
  <si>
    <r>
      <rPr>
        <b val="true"/>
        <sz val="10"/>
        <color rgb="FFFFFFFF"/>
        <rFont val="Yu Gothic"/>
        <family val="0"/>
        <charset val="1"/>
      </rPr>
      <t xml:space="preserve">05 </t>
    </r>
    <r>
      <rPr>
        <b val="true"/>
        <sz val="10"/>
        <color rgb="FFFFFFFF"/>
        <rFont val="Noto Sans CJK SC"/>
        <family val="2"/>
      </rPr>
      <t xml:space="preserve">オフィスの空間</t>
    </r>
  </si>
  <si>
    <r>
      <rPr>
        <b val="true"/>
        <sz val="10"/>
        <color rgb="FFFFFFFF"/>
        <rFont val="Yu Gothic"/>
        <family val="0"/>
        <charset val="1"/>
      </rPr>
      <t xml:space="preserve">06 </t>
    </r>
    <r>
      <rPr>
        <b val="true"/>
        <sz val="10"/>
        <color rgb="FFFFFFFF"/>
        <rFont val="Noto Sans CJK SC"/>
        <family val="2"/>
      </rPr>
      <t xml:space="preserve">商業施設の空間</t>
    </r>
  </si>
  <si>
    <t xml:space="preserve">掲載先：トップ（空間イメージ）</t>
  </si>
  <si>
    <t xml:space="preserve">掲載先：トップ（空間イメージ）（CG）</t>
  </si>
  <si>
    <r>
      <rPr>
        <b val="true"/>
        <sz val="10"/>
        <color rgb="FFFFFFFF"/>
        <rFont val="Yu Gothic"/>
        <family val="0"/>
        <charset val="1"/>
      </rPr>
      <t xml:space="preserve">07 </t>
    </r>
    <r>
      <rPr>
        <b val="true"/>
        <sz val="10"/>
        <color rgb="FFFFFFFF"/>
        <rFont val="Noto Sans CJK SC"/>
        <family val="2"/>
      </rPr>
      <t xml:space="preserve">ホテルの空間</t>
    </r>
  </si>
  <si>
    <r>
      <rPr>
        <b val="true"/>
        <sz val="10"/>
        <color rgb="FFFFFFFF"/>
        <rFont val="Yu Gothic"/>
        <family val="0"/>
        <charset val="1"/>
      </rPr>
      <t xml:space="preserve">08 </t>
    </r>
    <r>
      <rPr>
        <b val="true"/>
        <sz val="10"/>
        <color rgb="FFFFFFFF"/>
        <rFont val="Noto Sans CJK SC"/>
        <family val="2"/>
      </rPr>
      <t xml:space="preserve">住宅の空間</t>
    </r>
  </si>
  <si>
    <r>
      <rPr>
        <b val="true"/>
        <sz val="10"/>
        <color rgb="FFFFFFFF"/>
        <rFont val="Yu Gothic"/>
        <family val="0"/>
        <charset val="1"/>
      </rPr>
      <t xml:space="preserve">09 </t>
    </r>
    <r>
      <rPr>
        <b val="true"/>
        <sz val="10"/>
        <color rgb="FFFFFFFF"/>
        <rFont val="Noto Sans CJK SC"/>
        <family val="2"/>
      </rPr>
      <t xml:space="preserve">公共空間</t>
    </r>
  </si>
  <si>
    <r>
      <rPr>
        <b val="true"/>
        <sz val="10"/>
        <color rgb="FFFFFFFF"/>
        <rFont val="Yu Gothic"/>
        <family val="0"/>
        <charset val="1"/>
      </rPr>
      <t xml:space="preserve">10 </t>
    </r>
    <r>
      <rPr>
        <b val="true"/>
        <sz val="10"/>
        <color rgb="FFFFFFFF"/>
        <rFont val="Noto Sans CJK SC"/>
        <family val="2"/>
      </rPr>
      <t xml:space="preserve">加工機でのガラス加工</t>
    </r>
  </si>
  <si>
    <r>
      <rPr>
        <b val="true"/>
        <sz val="10"/>
        <color rgb="FFFFFFFF"/>
        <rFont val="Yu Gothic"/>
        <family val="0"/>
        <charset val="1"/>
      </rPr>
      <t xml:space="preserve">11 </t>
    </r>
    <r>
      <rPr>
        <b val="true"/>
        <sz val="10"/>
        <color rgb="FFFFFFFF"/>
        <rFont val="Noto Sans CJK SC"/>
        <family val="2"/>
      </rPr>
      <t xml:space="preserve">植物とガラス</t>
    </r>
  </si>
  <si>
    <r>
      <rPr>
        <b val="true"/>
        <sz val="10"/>
        <color rgb="FFFFFFFF"/>
        <rFont val="Yu Gothic"/>
        <family val="0"/>
        <charset val="1"/>
      </rPr>
      <t xml:space="preserve">12 </t>
    </r>
    <r>
      <rPr>
        <b val="true"/>
        <sz val="10"/>
        <color rgb="FFFFFFFF"/>
        <rFont val="Noto Sans CJK SC"/>
        <family val="2"/>
      </rPr>
      <t xml:space="preserve">製作前に比べるサンプルと図面</t>
    </r>
  </si>
  <si>
    <t xml:space="preserve">掲載先：トップ（技術）</t>
  </si>
  <si>
    <t xml:space="preserve">掲載先：トップ（長く使う）</t>
  </si>
  <si>
    <t xml:space="preserve">掲載先：トップ（流れ）／採用</t>
  </si>
  <si>
    <r>
      <rPr>
        <b val="true"/>
        <sz val="10"/>
        <color rgb="FFFFFFFF"/>
        <rFont val="Yu Gothic"/>
        <family val="0"/>
        <charset val="1"/>
      </rPr>
      <t xml:space="preserve">13 </t>
    </r>
    <r>
      <rPr>
        <b val="true"/>
        <sz val="10"/>
        <color rgb="FFFFFFFF"/>
        <rFont val="Noto Sans CJK SC"/>
        <family val="2"/>
      </rPr>
      <t xml:space="preserve">図面とサンプルの比較</t>
    </r>
  </si>
  <si>
    <r>
      <rPr>
        <b val="true"/>
        <sz val="10"/>
        <color rgb="FFFFFFFF"/>
        <rFont val="Yu Gothic"/>
        <family val="0"/>
        <charset val="1"/>
      </rPr>
      <t xml:space="preserve">14 </t>
    </r>
    <r>
      <rPr>
        <b val="true"/>
        <sz val="10"/>
        <color rgb="FFFFFFFF"/>
        <rFont val="Noto Sans CJK SC"/>
        <family val="2"/>
      </rPr>
      <t xml:space="preserve">寸法と取り合いの照合</t>
    </r>
  </si>
  <si>
    <r>
      <rPr>
        <b val="true"/>
        <sz val="10"/>
        <color rgb="FFFFFFFF"/>
        <rFont val="Yu Gothic"/>
        <family val="0"/>
        <charset val="1"/>
      </rPr>
      <t xml:space="preserve">15 </t>
    </r>
    <r>
      <rPr>
        <b val="true"/>
        <sz val="10"/>
        <color rgb="FFFFFFFF"/>
        <rFont val="Noto Sans CJK SC"/>
        <family val="2"/>
      </rPr>
      <t xml:space="preserve">表面と端部の確かめ</t>
    </r>
  </si>
  <si>
    <r>
      <rPr>
        <b val="true"/>
        <sz val="10"/>
        <color rgb="FFFFFFFF"/>
        <rFont val="Yu Gothic"/>
        <family val="0"/>
        <charset val="1"/>
      </rPr>
      <t xml:space="preserve">16 </t>
    </r>
    <r>
      <rPr>
        <b val="true"/>
        <sz val="10"/>
        <color rgb="FFFFFFFF"/>
        <rFont val="Noto Sans CJK SC"/>
        <family val="2"/>
      </rPr>
      <t xml:space="preserve">庭と室内の間の透明ガラス</t>
    </r>
  </si>
  <si>
    <r>
      <rPr>
        <b val="true"/>
        <sz val="10"/>
        <color rgb="FFFFFFFF"/>
        <rFont val="Yu Gothic"/>
        <family val="0"/>
        <charset val="1"/>
      </rPr>
      <t xml:space="preserve">17 </t>
    </r>
    <r>
      <rPr>
        <b val="true"/>
        <sz val="10"/>
        <color rgb="FFFFFFFF"/>
        <rFont val="Noto Sans CJK SC"/>
        <family val="2"/>
      </rPr>
      <t xml:space="preserve">間仕切り越しの読書スペース</t>
    </r>
  </si>
  <si>
    <r>
      <rPr>
        <b val="true"/>
        <sz val="10"/>
        <color rgb="FFFFFFFF"/>
        <rFont val="Yu Gothic"/>
        <family val="0"/>
        <charset val="1"/>
      </rPr>
      <t xml:space="preserve">18 </t>
    </r>
    <r>
      <rPr>
        <b val="true"/>
        <sz val="10"/>
        <color rgb="FFFFFFFF"/>
        <rFont val="Noto Sans CJK SC"/>
        <family val="2"/>
      </rPr>
      <t xml:space="preserve">窓から差し込む午後の光</t>
    </r>
  </si>
  <si>
    <t xml:space="preserve">掲載先：私たちの想い</t>
  </si>
  <si>
    <r>
      <rPr>
        <b val="true"/>
        <sz val="10"/>
        <color rgb="FFFFFFFF"/>
        <rFont val="Yu Gothic"/>
        <family val="0"/>
        <charset val="1"/>
      </rPr>
      <t xml:space="preserve">19 5</t>
    </r>
    <r>
      <rPr>
        <b val="true"/>
        <sz val="10"/>
        <color rgb="FFFFFFFF"/>
        <rFont val="Noto Sans CJK SC"/>
        <family val="2"/>
      </rPr>
      <t xml:space="preserve">種のサンプルを並べた標本</t>
    </r>
  </si>
  <si>
    <r>
      <rPr>
        <b val="true"/>
        <sz val="10"/>
        <color rgb="FFFFFFFF"/>
        <rFont val="Yu Gothic"/>
        <family val="0"/>
        <charset val="1"/>
      </rPr>
      <t xml:space="preserve">20 </t>
    </r>
    <r>
      <rPr>
        <b val="true"/>
        <sz val="10"/>
        <color rgb="FFFFFFFF"/>
        <rFont val="Noto Sans CJK SC"/>
        <family val="2"/>
      </rPr>
      <t xml:space="preserve">透明ガラスの空間</t>
    </r>
  </si>
  <si>
    <r>
      <rPr>
        <b val="true"/>
        <sz val="10"/>
        <color rgb="FFFFFFFF"/>
        <rFont val="Yu Gothic"/>
        <family val="0"/>
        <charset val="1"/>
      </rPr>
      <t xml:space="preserve">21 </t>
    </r>
    <r>
      <rPr>
        <b val="true"/>
        <sz val="10"/>
        <color rgb="FFFFFFFF"/>
        <rFont val="Noto Sans CJK SC"/>
        <family val="2"/>
      </rPr>
      <t xml:space="preserve">フロストガラスの空間</t>
    </r>
  </si>
  <si>
    <t xml:space="preserve">掲載先：製品一覧（見出し）</t>
  </si>
  <si>
    <t xml:space="preserve">掲載先：製品一覧／透明ガラス</t>
  </si>
  <si>
    <t xml:space="preserve">掲載先：製品一覧／フロスト</t>
  </si>
  <si>
    <r>
      <rPr>
        <b val="true"/>
        <sz val="10"/>
        <color rgb="FFFFFFFF"/>
        <rFont val="Yu Gothic"/>
        <family val="0"/>
        <charset val="1"/>
      </rPr>
      <t xml:space="preserve">22 </t>
    </r>
    <r>
      <rPr>
        <b val="true"/>
        <sz val="10"/>
        <color rgb="FFFFFFFF"/>
        <rFont val="Noto Sans CJK SC"/>
        <family val="2"/>
      </rPr>
      <t xml:space="preserve">型板ガラスの接写</t>
    </r>
  </si>
  <si>
    <r>
      <rPr>
        <b val="true"/>
        <sz val="10"/>
        <color rgb="FFFFFFFF"/>
        <rFont val="Yu Gothic"/>
        <family val="0"/>
        <charset val="1"/>
      </rPr>
      <t xml:space="preserve">23 </t>
    </r>
    <r>
      <rPr>
        <b val="true"/>
        <sz val="10"/>
        <color rgb="FFFFFFFF"/>
        <rFont val="Noto Sans CJK SC"/>
        <family val="2"/>
      </rPr>
      <t xml:space="preserve">カラーガラスの空間</t>
    </r>
  </si>
  <si>
    <r>
      <rPr>
        <b val="true"/>
        <sz val="10"/>
        <color rgb="FFFFFFFF"/>
        <rFont val="Yu Gothic"/>
        <family val="0"/>
        <charset val="1"/>
      </rPr>
      <t xml:space="preserve">24 </t>
    </r>
    <r>
      <rPr>
        <b val="true"/>
        <sz val="10"/>
        <color rgb="FFFFFFFF"/>
        <rFont val="Noto Sans CJK SC"/>
        <family val="2"/>
      </rPr>
      <t xml:space="preserve">固定窓と室内外のつながり</t>
    </r>
  </si>
  <si>
    <t xml:space="preserve">掲載先：製品一覧／型板</t>
  </si>
  <si>
    <t xml:space="preserve">掲載先：製品一覧／カラー</t>
  </si>
  <si>
    <t xml:space="preserve">掲載先：製品一覧／機能性</t>
  </si>
  <si>
    <r>
      <rPr>
        <b val="true"/>
        <sz val="10"/>
        <color rgb="FFFFFFFF"/>
        <rFont val="Yu Gothic"/>
        <family val="0"/>
        <charset val="1"/>
      </rPr>
      <t xml:space="preserve">25 </t>
    </r>
    <r>
      <rPr>
        <b val="true"/>
        <sz val="10"/>
        <color rgb="FFFFFFFF"/>
        <rFont val="Noto Sans CJK SC"/>
        <family val="2"/>
      </rPr>
      <t xml:space="preserve">中庭へ抜ける開口部</t>
    </r>
  </si>
  <si>
    <r>
      <rPr>
        <b val="true"/>
        <sz val="10"/>
        <color rgb="FFFFFFFF"/>
        <rFont val="Yu Gothic"/>
        <family val="0"/>
        <charset val="1"/>
      </rPr>
      <t xml:space="preserve">26 </t>
    </r>
    <r>
      <rPr>
        <b val="true"/>
        <sz val="10"/>
        <color rgb="FFFFFFFF"/>
        <rFont val="Noto Sans CJK SC"/>
        <family val="2"/>
      </rPr>
      <t xml:space="preserve">透明ガラスの端部と支持部</t>
    </r>
  </si>
  <si>
    <r>
      <rPr>
        <b val="true"/>
        <sz val="10"/>
        <color rgb="FFFFFFFF"/>
        <rFont val="Yu Gothic"/>
        <family val="0"/>
        <charset val="1"/>
      </rPr>
      <t xml:space="preserve">27 </t>
    </r>
    <r>
      <rPr>
        <b val="true"/>
        <sz val="10"/>
        <color rgb="FFFFFFFF"/>
        <rFont val="Noto Sans CJK SC"/>
        <family val="2"/>
      </rPr>
      <t xml:space="preserve">景色を取り込む窓</t>
    </r>
  </si>
  <si>
    <t xml:space="preserve">掲載先：製品一覧（選び方）</t>
  </si>
  <si>
    <t xml:space="preserve">掲載先：透明ガラス</t>
  </si>
  <si>
    <r>
      <rPr>
        <b val="true"/>
        <sz val="10"/>
        <color rgb="FFFFFFFF"/>
        <rFont val="Yu Gothic"/>
        <family val="0"/>
        <charset val="1"/>
      </rPr>
      <t xml:space="preserve">28 </t>
    </r>
    <r>
      <rPr>
        <b val="true"/>
        <sz val="10"/>
        <color rgb="FFFFFFFF"/>
        <rFont val="Noto Sans CJK SC"/>
        <family val="2"/>
      </rPr>
      <t xml:space="preserve">会議室の透明間仕切り</t>
    </r>
  </si>
  <si>
    <r>
      <rPr>
        <b val="true"/>
        <sz val="10"/>
        <color rgb="FFFFFFFF"/>
        <rFont val="Yu Gothic"/>
        <family val="0"/>
        <charset val="1"/>
      </rPr>
      <t xml:space="preserve">29 </t>
    </r>
    <r>
      <rPr>
        <b val="true"/>
        <sz val="10"/>
        <color rgb="FFFFFFFF"/>
        <rFont val="Noto Sans CJK SC"/>
        <family val="2"/>
      </rPr>
      <t xml:space="preserve">ショールームのガラス面</t>
    </r>
  </si>
  <si>
    <r>
      <rPr>
        <b val="true"/>
        <sz val="10"/>
        <color rgb="FFFFFFFF"/>
        <rFont val="Yu Gothic"/>
        <family val="0"/>
        <charset val="1"/>
      </rPr>
      <t xml:space="preserve">30 </t>
    </r>
    <r>
      <rPr>
        <b val="true"/>
        <sz val="10"/>
        <color rgb="FFFFFFFF"/>
        <rFont val="Noto Sans CJK SC"/>
        <family val="2"/>
      </rPr>
      <t xml:space="preserve">フロストの表面と植物の輪郭</t>
    </r>
  </si>
  <si>
    <t xml:space="preserve">掲載先：透明ガラス／会社情報</t>
  </si>
  <si>
    <t xml:space="preserve">掲載先：フロストガラス</t>
  </si>
  <si>
    <r>
      <rPr>
        <b val="true"/>
        <sz val="10"/>
        <color rgb="FFFFFFFF"/>
        <rFont val="Yu Gothic"/>
        <family val="0"/>
        <charset val="1"/>
      </rPr>
      <t xml:space="preserve">31 </t>
    </r>
    <r>
      <rPr>
        <b val="true"/>
        <sz val="10"/>
        <color rgb="FFFFFFFF"/>
        <rFont val="Noto Sans CJK SC"/>
        <family val="2"/>
      </rPr>
      <t xml:space="preserve">フロスト間仕切りのワークラウンジ</t>
    </r>
  </si>
  <si>
    <r>
      <rPr>
        <b val="true"/>
        <sz val="10"/>
        <color rgb="FFFFFFFF"/>
        <rFont val="Yu Gothic"/>
        <family val="0"/>
        <charset val="1"/>
      </rPr>
      <t xml:space="preserve">32 </t>
    </r>
    <r>
      <rPr>
        <b val="true"/>
        <sz val="10"/>
        <color rgb="FFFFFFFF"/>
        <rFont val="Noto Sans CJK SC"/>
        <family val="2"/>
      </rPr>
      <t xml:space="preserve">型板ガラスの建具</t>
    </r>
  </si>
  <si>
    <r>
      <rPr>
        <b val="true"/>
        <sz val="10"/>
        <color rgb="FFFFFFFF"/>
        <rFont val="Yu Gothic"/>
        <family val="0"/>
        <charset val="1"/>
      </rPr>
      <t xml:space="preserve">33 </t>
    </r>
    <r>
      <rPr>
        <b val="true"/>
        <sz val="10"/>
        <color rgb="FFFFFFFF"/>
        <rFont val="Noto Sans CJK SC"/>
        <family val="2"/>
      </rPr>
      <t xml:space="preserve">色を帯びた光</t>
    </r>
  </si>
  <si>
    <t xml:space="preserve">掲載先：型板ガラス</t>
  </si>
  <si>
    <t xml:space="preserve">掲載先：カラーガラス</t>
  </si>
  <si>
    <r>
      <rPr>
        <b val="true"/>
        <sz val="10"/>
        <color rgb="FFFFFFFF"/>
        <rFont val="Yu Gothic"/>
        <family val="0"/>
        <charset val="1"/>
      </rPr>
      <t xml:space="preserve">34 </t>
    </r>
    <r>
      <rPr>
        <b val="true"/>
        <sz val="10"/>
        <color rgb="FFFFFFFF"/>
        <rFont val="Noto Sans CJK SC"/>
        <family val="2"/>
      </rPr>
      <t xml:space="preserve">カラーガラスの間仕切り</t>
    </r>
  </si>
  <si>
    <r>
      <rPr>
        <b val="true"/>
        <sz val="10"/>
        <color rgb="FFFFFFFF"/>
        <rFont val="Yu Gothic"/>
        <family val="0"/>
        <charset val="1"/>
      </rPr>
      <t xml:space="preserve">35 </t>
    </r>
    <r>
      <rPr>
        <b val="true"/>
        <sz val="10"/>
        <color rgb="FFFFFFFF"/>
        <rFont val="Noto Sans CJK SC"/>
        <family val="2"/>
      </rPr>
      <t xml:space="preserve">設計机のサンプルと計測具</t>
    </r>
  </si>
  <si>
    <r>
      <rPr>
        <b val="true"/>
        <sz val="10"/>
        <color rgb="FFFFFFFF"/>
        <rFont val="Yu Gothic"/>
        <family val="0"/>
        <charset val="1"/>
      </rPr>
      <t xml:space="preserve">36 </t>
    </r>
    <r>
      <rPr>
        <b val="true"/>
        <sz val="10"/>
        <color rgb="FFFFFFFF"/>
        <rFont val="Noto Sans CJK SC"/>
        <family val="2"/>
      </rPr>
      <t xml:space="preserve">固定窓から見る中庭</t>
    </r>
  </si>
  <si>
    <t xml:space="preserve">掲載先：機能性ガラス</t>
  </si>
  <si>
    <r>
      <rPr>
        <b val="true"/>
        <sz val="10"/>
        <color rgb="FFFFFFFF"/>
        <rFont val="Yu Gothic"/>
        <family val="0"/>
        <charset val="1"/>
      </rPr>
      <t xml:space="preserve">37 </t>
    </r>
    <r>
      <rPr>
        <b val="true"/>
        <sz val="10"/>
        <color rgb="FFFFFFFF"/>
        <rFont val="Noto Sans CJK SC"/>
        <family val="2"/>
      </rPr>
      <t xml:space="preserve">中庭を望むオフィス</t>
    </r>
  </si>
  <si>
    <r>
      <rPr>
        <b val="true"/>
        <sz val="10"/>
        <color rgb="FFFFFFFF"/>
        <rFont val="Yu Gothic"/>
        <family val="0"/>
        <charset val="1"/>
      </rPr>
      <t xml:space="preserve">38 </t>
    </r>
    <r>
      <rPr>
        <b val="true"/>
        <sz val="10"/>
        <color rgb="FFFFFFFF"/>
        <rFont val="Noto Sans CJK SC"/>
        <family val="2"/>
      </rPr>
      <t xml:space="preserve">ラウンジの間仕切り</t>
    </r>
  </si>
  <si>
    <r>
      <rPr>
        <b val="true"/>
        <sz val="10"/>
        <color rgb="FFFFFFFF"/>
        <rFont val="Yu Gothic"/>
        <family val="0"/>
        <charset val="1"/>
      </rPr>
      <t xml:space="preserve">39 </t>
    </r>
    <r>
      <rPr>
        <b val="true"/>
        <sz val="10"/>
        <color rgb="FFFFFFFF"/>
        <rFont val="Noto Sans CJK SC"/>
        <family val="2"/>
      </rPr>
      <t xml:space="preserve">庭に面したダイニング</t>
    </r>
  </si>
  <si>
    <t xml:space="preserve">掲載先：施工イメージ</t>
  </si>
  <si>
    <r>
      <rPr>
        <b val="true"/>
        <sz val="10"/>
        <color rgb="FFFFFFFF"/>
        <rFont val="Yu Gothic"/>
        <family val="0"/>
        <charset val="1"/>
      </rPr>
      <t xml:space="preserve">40 </t>
    </r>
    <r>
      <rPr>
        <b val="true"/>
        <sz val="10"/>
        <color rgb="FFFFFFFF"/>
        <rFont val="Noto Sans CJK SC"/>
        <family val="2"/>
      </rPr>
      <t xml:space="preserve">端面と工具を置いた作業台</t>
    </r>
  </si>
  <si>
    <r>
      <rPr>
        <b val="true"/>
        <sz val="10"/>
        <color rgb="FFFFFFFF"/>
        <rFont val="Yu Gothic"/>
        <family val="0"/>
        <charset val="1"/>
      </rPr>
      <t xml:space="preserve">41 </t>
    </r>
    <r>
      <rPr>
        <b val="true"/>
        <sz val="10"/>
        <color rgb="FFFFFFFF"/>
        <rFont val="Noto Sans CJK SC"/>
        <family val="2"/>
      </rPr>
      <t xml:space="preserve">磨いた端部の接写</t>
    </r>
  </si>
  <si>
    <r>
      <rPr>
        <b val="true"/>
        <sz val="10"/>
        <color rgb="FFFFFFFF"/>
        <rFont val="Yu Gothic"/>
        <family val="0"/>
        <charset val="1"/>
      </rPr>
      <t xml:space="preserve">42 </t>
    </r>
    <r>
      <rPr>
        <b val="true"/>
        <sz val="10"/>
        <color rgb="FFFFFFFF"/>
        <rFont val="Noto Sans CJK SC"/>
        <family val="2"/>
      </rPr>
      <t xml:space="preserve">反射で確かめる表面</t>
    </r>
  </si>
  <si>
    <t xml:space="preserve">掲載先：技術と品質（見出し）／会社情報</t>
  </si>
  <si>
    <t xml:space="preserve">掲載先：技術と品質</t>
  </si>
  <si>
    <r>
      <rPr>
        <b val="true"/>
        <sz val="10"/>
        <color rgb="FFFFFFFF"/>
        <rFont val="Yu Gothic"/>
        <family val="0"/>
        <charset val="1"/>
      </rPr>
      <t xml:space="preserve">43 </t>
    </r>
    <r>
      <rPr>
        <b val="true"/>
        <sz val="10"/>
        <color rgb="FFFFFFFF"/>
        <rFont val="Noto Sans CJK SC"/>
        <family val="2"/>
      </rPr>
      <t xml:space="preserve">図面と透明・フロストのサンプル</t>
    </r>
  </si>
  <si>
    <r>
      <rPr>
        <b val="true"/>
        <sz val="10"/>
        <color rgb="FFFFFFFF"/>
        <rFont val="Yu Gothic"/>
        <family val="0"/>
        <charset val="1"/>
      </rPr>
      <t xml:space="preserve">45 </t>
    </r>
    <r>
      <rPr>
        <b val="true"/>
        <sz val="10"/>
        <color rgb="FFFFFFFF"/>
        <rFont val="Noto Sans CJK SC"/>
        <family val="2"/>
      </rPr>
      <t xml:space="preserve">保護手袋で端部を確かめる手元</t>
    </r>
  </si>
  <si>
    <r>
      <rPr>
        <b val="true"/>
        <sz val="10"/>
        <color rgb="FFFFFFFF"/>
        <rFont val="Yu Gothic"/>
        <family val="0"/>
        <charset val="1"/>
      </rPr>
      <t xml:space="preserve">46 </t>
    </r>
    <r>
      <rPr>
        <b val="true"/>
        <sz val="10"/>
        <color rgb="FFFFFFFF"/>
        <rFont val="Noto Sans CJK SC"/>
        <family val="2"/>
      </rPr>
      <t xml:space="preserve">窓と中庭の読書室</t>
    </r>
  </si>
  <si>
    <t xml:space="preserve">掲載先：採用情報（見出し）</t>
  </si>
  <si>
    <t xml:space="preserve">掲載先：採用情報</t>
  </si>
  <si>
    <r>
      <rPr>
        <b val="true"/>
        <sz val="10"/>
        <color rgb="FFFFFFFF"/>
        <rFont val="Yu Gothic"/>
        <family val="0"/>
        <charset val="1"/>
      </rPr>
      <t xml:space="preserve">47 </t>
    </r>
    <r>
      <rPr>
        <b val="true"/>
        <sz val="10"/>
        <color rgb="FFFFFFFF"/>
        <rFont val="Noto Sans CJK SC"/>
        <family val="2"/>
      </rPr>
      <t xml:space="preserve">図面を確認する作業者</t>
    </r>
  </si>
  <si>
    <r>
      <rPr>
        <b val="true"/>
        <sz val="10"/>
        <color rgb="FFFFFFFF"/>
        <rFont val="Yu Gothic"/>
        <family val="0"/>
        <charset val="1"/>
      </rPr>
      <t xml:space="preserve">48 </t>
    </r>
    <r>
      <rPr>
        <b val="true"/>
        <sz val="10"/>
        <color rgb="FFFFFFFF"/>
        <rFont val="Noto Sans CJK SC"/>
        <family val="2"/>
      </rPr>
      <t xml:space="preserve">岩城 端面の確認</t>
    </r>
  </si>
  <si>
    <r>
      <rPr>
        <b val="true"/>
        <sz val="10"/>
        <color rgb="FFFFFFFF"/>
        <rFont val="Yu Gothic"/>
        <family val="0"/>
        <charset val="1"/>
      </rPr>
      <t xml:space="preserve">49 </t>
    </r>
    <r>
      <rPr>
        <b val="true"/>
        <sz val="10"/>
        <color rgb="FFFFFFFF"/>
        <rFont val="Noto Sans CJK SC"/>
        <family val="2"/>
      </rPr>
      <t xml:space="preserve">佐伯 ノギスで測る</t>
    </r>
  </si>
  <si>
    <t xml:space="preserve">掲載先：採用情報（加工前から検査まで）</t>
  </si>
  <si>
    <t xml:space="preserve">掲載先：採用情報（インタビュー）</t>
  </si>
  <si>
    <r>
      <rPr>
        <b val="true"/>
        <sz val="10"/>
        <color rgb="FFFFFFFF"/>
        <rFont val="Yu Gothic"/>
        <family val="0"/>
        <charset val="1"/>
      </rPr>
      <t xml:space="preserve">50 </t>
    </r>
    <r>
      <rPr>
        <b val="true"/>
        <sz val="10"/>
        <color rgb="FFFFFFFF"/>
        <rFont val="Noto Sans CJK SC"/>
        <family val="2"/>
      </rPr>
      <t xml:space="preserve">森下 図面とサンプルで説明</t>
    </r>
  </si>
  <si>
    <r>
      <rPr>
        <b val="true"/>
        <sz val="10"/>
        <color rgb="FFFFFFFF"/>
        <rFont val="Yu Gothic"/>
        <family val="0"/>
        <charset val="1"/>
      </rPr>
      <t xml:space="preserve">51 </t>
    </r>
    <r>
      <rPr>
        <b val="true"/>
        <sz val="10"/>
        <color rgb="FFFFFFFF"/>
        <rFont val="Noto Sans CJK SC"/>
        <family val="2"/>
      </rPr>
      <t xml:space="preserve">保護具を着けて働く工場</t>
    </r>
  </si>
  <si>
    <t xml:space="preserve">掲載先：採用情報／会社情報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</si>
</sst>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[$-411]m/d\（AAA\）"/>
    <numFmt numFmtId="166" formatCode="0\件"/>
    <numFmt numFmtId="167" formatCode="0%"/>
    <numFmt numFmtId="168" formatCode="d"/>
    <numFmt numFmtId="169" formatCode="m/d"/>
    <numFmt numFmtId="170" formatCode="[$-411]yyyy/m/d\（AAA\）"/>
    <numFmt numFmtId="171" formatCode="m/d\〜"/>
    <numFmt numFmtId="172" formatCode="@"/>
    <numFmt numFmtId="173" formatCode="h:mm"/>
    <numFmt numFmtId="174" formatCode="General"/>
  </numFmts>
  <fonts count="5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0"/>
      <color rgb="FFF2A93B"/>
      <name val="Yu Gothic"/>
      <family val="0"/>
      <charset val="1"/>
    </font>
    <font>
      <b val="true"/>
      <sz val="26"/>
      <color rgb="FFFFFFFF"/>
      <name val="Noto Sans CJK SC"/>
      <family val="2"/>
      <charset val="1"/>
    </font>
    <font>
      <sz val="11"/>
      <color rgb="FFD9DCE4"/>
      <name val="Noto Sans CJK SC"/>
      <family val="2"/>
      <charset val="1"/>
    </font>
    <font>
      <b val="true"/>
      <sz val="12"/>
      <color rgb="FFFFFFFF"/>
      <name val="Noto Sans CJK SC"/>
      <family val="2"/>
      <charset val="1"/>
    </font>
    <font>
      <b val="true"/>
      <sz val="13"/>
      <color rgb="FF1B2740"/>
      <name val="Noto Sans CJK SC"/>
      <family val="2"/>
      <charset val="1"/>
    </font>
    <font>
      <b val="true"/>
      <sz val="10"/>
      <color rgb="FFFFFFFF"/>
      <name val="Noto Sans CJK SC"/>
      <family val="2"/>
      <charset val="1"/>
    </font>
    <font>
      <b val="true"/>
      <sz val="11"/>
      <color rgb="FF1B2740"/>
      <name val="Noto Sans CJK SC"/>
      <family val="2"/>
      <charset val="1"/>
    </font>
    <font>
      <b val="true"/>
      <sz val="11"/>
      <color rgb="FF1B2740"/>
      <name val="Yu Gothic"/>
      <family val="0"/>
      <charset val="1"/>
    </font>
    <font>
      <sz val="11"/>
      <color rgb="FF1B2740"/>
      <name val="Noto Sans CJK SC"/>
      <family val="2"/>
      <charset val="1"/>
    </font>
    <font>
      <b val="true"/>
      <sz val="10"/>
      <color rgb="FF1B2740"/>
      <name val="Noto Sans CJK SC"/>
      <family val="2"/>
      <charset val="1"/>
    </font>
    <font>
      <sz val="11"/>
      <color rgb="FF1B2740"/>
      <name val="Yu Gothic"/>
      <family val="0"/>
      <charset val="1"/>
    </font>
    <font>
      <b val="true"/>
      <sz val="12"/>
      <color rgb="FF1B2740"/>
      <name val="Noto Sans CJK SC"/>
      <family val="2"/>
      <charset val="1"/>
    </font>
    <font>
      <b val="true"/>
      <sz val="18"/>
      <color rgb="FF1B2740"/>
      <name val="Yu Gothic"/>
      <family val="0"/>
      <charset val="1"/>
    </font>
    <font>
      <sz val="9"/>
      <color rgb="FF4D5770"/>
      <name val="Noto Sans CJK SC"/>
      <family val="2"/>
      <charset val="1"/>
    </font>
    <font>
      <b val="true"/>
      <u val="single"/>
      <sz val="11"/>
      <color rgb="FF1F4FA8"/>
      <name val="Noto Sans CJK SC"/>
      <family val="2"/>
      <charset val="1"/>
    </font>
    <font>
      <sz val="10.5"/>
      <color rgb="FF4D5770"/>
      <name val="Noto Sans CJK SC"/>
      <family val="2"/>
      <charset val="1"/>
    </font>
    <font>
      <sz val="10.5"/>
      <color rgb="FF4D5770"/>
      <name val="Yu Gothic"/>
      <family val="0"/>
      <charset val="1"/>
    </font>
    <font>
      <sz val="10.5"/>
      <color rgb="FF4D5770"/>
      <name val="Noto Sans CJK SC"/>
      <family val="2"/>
    </font>
    <font>
      <b val="true"/>
      <sz val="18"/>
      <color rgb="FF1B2740"/>
      <name val="Noto Sans CJK SC"/>
      <family val="2"/>
      <charset val="1"/>
    </font>
    <font>
      <sz val="9.5"/>
      <color rgb="FF4D5770"/>
      <name val="Noto Sans CJK SC"/>
      <family val="2"/>
      <charset val="1"/>
    </font>
    <font>
      <b val="true"/>
      <sz val="9.5"/>
      <color rgb="FFFFFFFF"/>
      <name val="Noto Sans CJK SC"/>
      <family val="2"/>
      <charset val="1"/>
    </font>
    <font>
      <b val="true"/>
      <sz val="9.5"/>
      <color rgb="FF1B2740"/>
      <name val="Noto Sans CJK SC"/>
      <family val="2"/>
      <charset val="1"/>
    </font>
    <font>
      <b val="true"/>
      <sz val="9.5"/>
      <color rgb="FFC0392B"/>
      <name val="Noto Sans CJK SC"/>
      <family val="2"/>
      <charset val="1"/>
    </font>
    <font>
      <b val="true"/>
      <sz val="10"/>
      <color rgb="FFFFFFFF"/>
      <name val="Yu Gothic"/>
      <family val="0"/>
      <charset val="1"/>
    </font>
    <font>
      <b val="true"/>
      <sz val="9"/>
      <color rgb="FF1B2740"/>
      <name val="Yu Gothic"/>
      <family val="0"/>
      <charset val="1"/>
    </font>
    <font>
      <b val="true"/>
      <sz val="10"/>
      <color rgb="FFC8553D"/>
      <name val="Noto Sans CJK SC"/>
      <family val="2"/>
      <charset val="1"/>
    </font>
    <font>
      <b val="true"/>
      <sz val="9"/>
      <color rgb="FFC8553D"/>
      <name val="Yu Gothic"/>
      <family val="0"/>
      <charset val="1"/>
    </font>
    <font>
      <b val="true"/>
      <sz val="10.5"/>
      <color rgb="FF1B2740"/>
      <name val="Yu Gothic"/>
      <family val="0"/>
      <charset val="1"/>
    </font>
    <font>
      <b val="true"/>
      <sz val="10.5"/>
      <color rgb="FF1B2740"/>
      <name val="Noto Sans CJK SC"/>
      <family val="2"/>
    </font>
    <font>
      <sz val="8"/>
      <color rgb="FFE4E6EC"/>
      <name val="Yu Gothic"/>
      <family val="0"/>
      <charset val="1"/>
    </font>
    <font>
      <b val="true"/>
      <sz val="10"/>
      <color rgb="FF1B2740"/>
      <name val="Yu Gothic"/>
      <family val="0"/>
      <charset val="1"/>
    </font>
    <font>
      <sz val="10"/>
      <color rgb="FF1B2740"/>
      <name val="Noto Sans CJK SC"/>
      <family val="2"/>
      <charset val="1"/>
    </font>
    <font>
      <b val="true"/>
      <sz val="9"/>
      <color rgb="FF4D5770"/>
      <name val="Noto Sans CJK SC"/>
      <family val="2"/>
      <charset val="1"/>
    </font>
    <font>
      <sz val="10"/>
      <color rgb="FF1B2740"/>
      <name val="Yu Gothic"/>
      <family val="0"/>
      <charset val="1"/>
    </font>
    <font>
      <b val="true"/>
      <sz val="10"/>
      <color rgb="FFC0392B"/>
      <name val="Yu Gothic"/>
      <family val="0"/>
      <charset val="1"/>
    </font>
    <font>
      <b val="true"/>
      <sz val="9"/>
      <color rgb="FFC0392B"/>
      <name val="Yu Gothic"/>
      <family val="0"/>
      <charset val="1"/>
    </font>
    <font>
      <sz val="10"/>
      <color rgb="FF4D5770"/>
      <name val="Noto Sans CJK SC"/>
      <family val="2"/>
      <charset val="1"/>
    </font>
    <font>
      <sz val="11"/>
      <color rgb="FF263238"/>
      <name val="Yu Gothic"/>
      <family val="0"/>
      <charset val="1"/>
    </font>
    <font>
      <b val="true"/>
      <sz val="12"/>
      <color rgb="FF1B2740"/>
      <name val="Yu Gothic"/>
      <family val="0"/>
      <charset val="1"/>
    </font>
    <font>
      <b val="true"/>
      <sz val="12"/>
      <color rgb="FFC8553D"/>
      <name val="Yu Gothic"/>
      <family val="0"/>
      <charset val="1"/>
    </font>
    <font>
      <sz val="9"/>
      <color rgb="FF4D5770"/>
      <name val="Yu Gothic"/>
      <family val="0"/>
      <charset val="1"/>
    </font>
    <font>
      <b val="true"/>
      <sz val="10"/>
      <color rgb="FFFFFFFF"/>
      <name val="Noto Sans CJK SC"/>
      <family val="2"/>
    </font>
    <font>
      <sz val="10.5"/>
      <color rgb="FF1B2740"/>
      <name val="Noto Sans CJK SC"/>
      <family val="2"/>
      <charset val="1"/>
    </font>
    <font>
      <b val="true"/>
      <sz val="10.5"/>
      <color rgb="FF1B2740"/>
      <name val="Noto Sans CJK SC"/>
      <family val="2"/>
      <charset val="1"/>
    </font>
    <font>
      <sz val="10.5"/>
      <color rgb="FF1B2740"/>
      <name val="Yu Gothic"/>
      <family val="0"/>
      <charset val="1"/>
    </font>
    <font>
      <sz val="9"/>
      <color rgb="FFFFFFFF"/>
      <name val="Yu Gothic"/>
      <family val="0"/>
      <charset val="1"/>
    </font>
    <font>
      <sz val="10"/>
      <color rgb="FF4D5770"/>
      <name val="Yu Gothic"/>
      <family val="0"/>
      <charset val="1"/>
    </font>
    <font>
      <sz val="10.5"/>
      <color rgb="FF1B2740"/>
      <name val="Noto Sans CJK SC"/>
      <family val="2"/>
    </font>
    <font>
      <b val="true"/>
      <sz val="18"/>
      <color rgb="FF1B2740"/>
      <name val="Noto Sans CJK SC"/>
      <family val="2"/>
    </font>
    <font>
      <sz val="10"/>
      <color rgb="FF4D5770"/>
      <name val="Noto Sans CJK SC"/>
      <family val="2"/>
    </font>
    <font>
      <b val="true"/>
      <sz val="10"/>
      <color rgb="FF4D5770"/>
      <name val="Yu Gothic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B2740"/>
        <bgColor rgb="FF263238"/>
      </patternFill>
    </fill>
    <fill>
      <patternFill patternType="solid">
        <fgColor rgb="FFF2A93B"/>
        <bgColor rgb="FFE98235"/>
      </patternFill>
    </fill>
    <fill>
      <patternFill patternType="solid">
        <fgColor rgb="FFC8553D"/>
        <bgColor rgb="FFC0392B"/>
      </patternFill>
    </fill>
    <fill>
      <patternFill patternType="solid">
        <fgColor rgb="FFFBE7C6"/>
        <bgColor rgb="FFFFF1C9"/>
      </patternFill>
    </fill>
    <fill>
      <patternFill patternType="solid">
        <fgColor rgb="FFFFF1C9"/>
        <bgColor rgb="FFFBE7C6"/>
      </patternFill>
    </fill>
    <fill>
      <patternFill patternType="solid">
        <fgColor rgb="FFFFFFFF"/>
        <bgColor rgb="FFFAFAF7"/>
      </patternFill>
    </fill>
    <fill>
      <patternFill patternType="solid">
        <fgColor rgb="FFFDECEA"/>
        <bgColor rgb="FFF3F2EE"/>
      </patternFill>
    </fill>
    <fill>
      <patternFill patternType="solid">
        <fgColor rgb="FF2D3A57"/>
        <bgColor rgb="FF263238"/>
      </patternFill>
    </fill>
    <fill>
      <patternFill patternType="solid">
        <fgColor rgb="FFF0EEE6"/>
        <bgColor rgb="FFECECE8"/>
      </patternFill>
    </fill>
    <fill>
      <patternFill patternType="solid">
        <fgColor rgb="FFE4E6EC"/>
        <bgColor rgb="FFE6E6E1"/>
      </patternFill>
    </fill>
    <fill>
      <patternFill patternType="solid">
        <fgColor rgb="FFFAFAF7"/>
        <bgColor rgb="FFFAFAF6"/>
      </patternFill>
    </fill>
    <fill>
      <patternFill patternType="solid">
        <fgColor rgb="FFFAFAF6"/>
        <bgColor rgb="FFFAFAF7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ck">
        <color rgb="FFF2A93B"/>
      </left>
      <right/>
      <top/>
      <bottom/>
      <diagonal/>
    </border>
    <border diagonalUp="false" diagonalDown="false">
      <left/>
      <right style="thin">
        <color rgb="FF2D3A57"/>
      </right>
      <top/>
      <bottom/>
      <diagonal/>
    </border>
    <border diagonalUp="false" diagonalDown="false">
      <left/>
      <right/>
      <top/>
      <bottom style="thin">
        <color rgb="FFD9DAD3"/>
      </bottom>
      <diagonal/>
    </border>
    <border diagonalUp="false" diagonalDown="false">
      <left style="thin">
        <color rgb="FFD9DAD3"/>
      </left>
      <right/>
      <top style="thin">
        <color rgb="FFD9DAD3"/>
      </top>
      <bottom style="thin">
        <color rgb="FFD9DAD3"/>
      </bottom>
      <diagonal/>
    </border>
    <border diagonalUp="false" diagonalDown="false">
      <left/>
      <right/>
      <top style="thin">
        <color rgb="FFD9DAD3"/>
      </top>
      <bottom style="thin">
        <color rgb="FFD9DAD3"/>
      </bottom>
      <diagonal/>
    </border>
    <border diagonalUp="false" diagonalDown="false">
      <left/>
      <right style="thin">
        <color rgb="FFE6E6E1"/>
      </right>
      <top/>
      <bottom/>
      <diagonal/>
    </border>
    <border diagonalUp="false" diagonalDown="false">
      <left/>
      <right style="thin">
        <color rgb="FFE6E6E1"/>
      </right>
      <top/>
      <bottom style="thin">
        <color rgb="FFD9DAD3"/>
      </bottom>
      <diagonal/>
    </border>
    <border diagonalUp="false" diagonalDown="false">
      <left/>
      <right/>
      <top style="thin">
        <color rgb="FFB9BDC8"/>
      </top>
      <bottom/>
      <diagonal/>
    </border>
    <border diagonalUp="false" diagonalDown="false">
      <left/>
      <right style="thin">
        <color rgb="FFECECE8"/>
      </right>
      <top style="thin">
        <color rgb="FFB9BDC8"/>
      </top>
      <bottom/>
      <diagonal/>
    </border>
    <border diagonalUp="false" diagonalDown="false">
      <left/>
      <right style="thin">
        <color rgb="FFECECE8"/>
      </right>
      <top/>
      <bottom style="thin">
        <color rgb="FFECECE8"/>
      </bottom>
      <diagonal/>
    </border>
    <border diagonalUp="false" diagonalDown="false">
      <left/>
      <right/>
      <top/>
      <bottom style="thin">
        <color rgb="FFE98235"/>
      </bottom>
      <diagonal/>
    </border>
    <border diagonalUp="false" diagonalDown="false">
      <left/>
      <right/>
      <top/>
      <bottom style="medium">
        <color rgb="FFF2A93B"/>
      </bottom>
      <diagonal/>
    </border>
    <border diagonalUp="false" diagonalDown="false">
      <left/>
      <right style="thin">
        <color rgb="FFECECE8"/>
      </right>
      <top/>
      <bottom style="thin">
        <color rgb="FFD9DAD3"/>
      </bottom>
      <diagonal/>
    </border>
    <border diagonalUp="false" diagonalDown="false">
      <left style="thick">
        <color rgb="FF1B2740"/>
      </left>
      <right/>
      <top/>
      <bottom style="thin">
        <color rgb="FFD9DA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7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9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1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1" fillId="1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2" fillId="11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4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32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6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8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9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2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4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2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43" fillId="6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1" fillId="1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4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7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9" fillId="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1" fillId="1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1" fillId="1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2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1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7" fillId="1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9" fillId="1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9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0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2" fillId="1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3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9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32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1" fillId="1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5" fillId="1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1" fillId="1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51" fillId="1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51" fillId="1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1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1" fillId="1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13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9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9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9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9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2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9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8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9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8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9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1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1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1" fillId="1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9">
    <dxf>
      <fill>
        <patternFill>
          <bgColor rgb="FFFDECEA"/>
        </patternFill>
      </fill>
    </dxf>
    <dxf>
      <fill>
        <patternFill>
          <bgColor rgb="FFB9BDC8"/>
        </patternFill>
      </fill>
    </dxf>
    <dxf>
      <font>
        <b val="1"/>
        <color rgb="FFFFFFFF"/>
      </font>
      <fill>
        <patternFill>
          <bgColor rgb="FFC8553D"/>
        </patternFill>
      </fill>
    </dxf>
    <dxf>
      <font>
        <b val="1"/>
        <color rgb="FF1B2740"/>
      </font>
      <fill>
        <patternFill>
          <bgColor rgb="FFF2A93B"/>
        </patternFill>
      </fill>
    </dxf>
    <dxf>
      <font>
        <b val="1"/>
        <color rgb="FFFFFFFF"/>
      </font>
      <fill>
        <patternFill>
          <bgColor rgb="FF1B2740"/>
        </patternFill>
      </fill>
    </dxf>
    <dxf>
      <fill>
        <patternFill>
          <bgColor rgb="FFFBE7C6"/>
        </patternFill>
      </fill>
    </dxf>
    <dxf>
      <fill>
        <patternFill>
          <bgColor rgb="FFF3F2EE"/>
        </patternFill>
      </fill>
    </dxf>
    <dxf>
      <font>
        <b val="1"/>
        <color rgb="FFFFFFFF"/>
      </font>
      <fill>
        <patternFill>
          <bgColor rgb="FFC0392B"/>
        </patternFill>
      </fill>
    </dxf>
    <dxf>
      <font>
        <color rgb="FF8A90A0"/>
      </font>
      <fill>
        <patternFill>
          <bgColor rgb="FFF0EEE6"/>
        </patternFill>
      </fill>
    </dxf>
    <dxf>
      <font>
        <name val="Yu Gothic"/>
        <charset val="1"/>
        <family val="0"/>
        <b val="1"/>
        <color rgb="FF5B6375"/>
      </font>
      <fill>
        <patternFill>
          <bgColor rgb="FFEEEFF2"/>
        </patternFill>
      </fill>
    </dxf>
    <dxf>
      <font>
        <name val="Yu Gothic"/>
        <charset val="1"/>
        <family val="0"/>
        <b val="1"/>
        <color rgb="FF1F4FA8"/>
      </font>
      <fill>
        <patternFill>
          <bgColor rgb="FFDCE6F7"/>
        </patternFill>
      </fill>
    </dxf>
    <dxf>
      <font>
        <name val="Yu Gothic"/>
        <charset val="1"/>
        <family val="0"/>
        <b val="1"/>
        <color rgb="FF8A5A00"/>
      </font>
      <fill>
        <patternFill>
          <bgColor rgb="FFFBE7C6"/>
        </patternFill>
      </fill>
    </dxf>
    <dxf>
      <font>
        <name val="Yu Gothic"/>
        <charset val="1"/>
        <family val="0"/>
        <b val="1"/>
        <color rgb="FF2E6B34"/>
      </font>
      <fill>
        <patternFill>
          <bgColor rgb="FFE1EFDF"/>
        </patternFill>
      </fill>
    </dxf>
    <dxf>
      <font>
        <name val="Yu Gothic"/>
        <charset val="1"/>
        <family val="0"/>
        <b val="1"/>
        <color rgb="FFC0392B"/>
      </font>
      <fill>
        <patternFill>
          <bgColor rgb="FFFBE0DC"/>
        </patternFill>
      </fill>
    </dxf>
    <dxf>
      <font>
        <b val="1"/>
        <color rgb="FF8A5A00"/>
      </font>
      <fill>
        <patternFill>
          <bgColor rgb="FFFBE7C6"/>
        </patternFill>
      </fill>
    </dxf>
    <dxf>
      <font>
        <b val="1"/>
        <color rgb="FFC8553D"/>
      </font>
    </dxf>
    <dxf>
      <font>
        <color rgb="FFF2A93B"/>
      </font>
      <fill>
        <patternFill>
          <bgColor rgb="FFF2A93B"/>
        </patternFill>
      </fill>
    </dxf>
    <dxf>
      <font>
        <color rgb="FFC8553D"/>
      </font>
      <fill>
        <patternFill>
          <bgColor rgb="FFC8553D"/>
        </patternFill>
      </fill>
    </dxf>
    <dxf>
      <font>
        <color rgb="FF1B2740"/>
      </font>
      <fill>
        <patternFill>
          <bgColor rgb="FF1B274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0EEE6"/>
      <rgbColor rgb="FFFF00FF"/>
      <rgbColor rgb="FF00FFFF"/>
      <rgbColor rgb="FF800000"/>
      <rgbColor rgb="FF2E6B34"/>
      <rgbColor rgb="FF000080"/>
      <rgbColor rgb="FF8A5A00"/>
      <rgbColor rgb="FF800080"/>
      <rgbColor rgb="FF008080"/>
      <rgbColor rgb="FFB9BDC8"/>
      <rgbColor rgb="FF7A869E"/>
      <rgbColor rgb="FFECECE8"/>
      <rgbColor rgb="FF993366"/>
      <rgbColor rgb="FFFFF1C9"/>
      <rgbColor rgb="FFDCE6F7"/>
      <rgbColor rgb="FF660066"/>
      <rgbColor rgb="FFE98235"/>
      <rgbColor rgb="FF1F4FA8"/>
      <rgbColor rgb="FFD9DCE4"/>
      <rgbColor rgb="FF000080"/>
      <rgbColor rgb="FFFF00FF"/>
      <rgbColor rgb="FFFDECEA"/>
      <rgbColor rgb="FF00FFFF"/>
      <rgbColor rgb="FF800080"/>
      <rgbColor rgb="FF800000"/>
      <rgbColor rgb="FF008080"/>
      <rgbColor rgb="FF0000FF"/>
      <rgbColor rgb="FF00CCFF"/>
      <rgbColor rgb="FFEEEFF2"/>
      <rgbColor rgb="FFE1EFDF"/>
      <rgbColor rgb="FFFBE7C6"/>
      <rgbColor rgb="FFD9DAD3"/>
      <rgbColor rgb="FFE6E6E1"/>
      <rgbColor rgb="FFE4E6EC"/>
      <rgbColor rgb="FFFBE0DC"/>
      <rgbColor rgb="FF3366FF"/>
      <rgbColor rgb="FFFAFAF7"/>
      <rgbColor rgb="FFFAFAF6"/>
      <rgbColor rgb="FFF3F2EE"/>
      <rgbColor rgb="FFF2A93B"/>
      <rgbColor rgb="FFC8553D"/>
      <rgbColor rgb="FF5B6375"/>
      <rgbColor rgb="FF8A90A0"/>
      <rgbColor rgb="FF1B2740"/>
      <rgbColor rgb="FF339966"/>
      <rgbColor rgb="FF003300"/>
      <rgbColor rgb="FF4D5770"/>
      <rgbColor rgb="FFC0392B"/>
      <rgbColor rgb="FF993366"/>
      <rgbColor rgb="FF2D3A57"/>
      <rgbColor rgb="FF2632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jpeg"/><Relationship Id="rId21" Type="http://schemas.openxmlformats.org/officeDocument/2006/relationships/image" Target="../media/image21.jpeg"/><Relationship Id="rId22" Type="http://schemas.openxmlformats.org/officeDocument/2006/relationships/image" Target="../media/image22.jpeg"/><Relationship Id="rId23" Type="http://schemas.openxmlformats.org/officeDocument/2006/relationships/image" Target="../media/image23.jpeg"/><Relationship Id="rId24" Type="http://schemas.openxmlformats.org/officeDocument/2006/relationships/image" Target="../media/image24.jpeg"/><Relationship Id="rId25" Type="http://schemas.openxmlformats.org/officeDocument/2006/relationships/image" Target="../media/image25.jpeg"/><Relationship Id="rId26" Type="http://schemas.openxmlformats.org/officeDocument/2006/relationships/image" Target="../media/image26.jpeg"/><Relationship Id="rId27" Type="http://schemas.openxmlformats.org/officeDocument/2006/relationships/image" Target="../media/image27.jpeg"/><Relationship Id="rId28" Type="http://schemas.openxmlformats.org/officeDocument/2006/relationships/image" Target="../media/image28.jpeg"/><Relationship Id="rId29" Type="http://schemas.openxmlformats.org/officeDocument/2006/relationships/image" Target="../media/image29.jpeg"/><Relationship Id="rId30" Type="http://schemas.openxmlformats.org/officeDocument/2006/relationships/image" Target="../media/image30.jpeg"/><Relationship Id="rId31" Type="http://schemas.openxmlformats.org/officeDocument/2006/relationships/image" Target="../media/image31.jpeg"/><Relationship Id="rId32" Type="http://schemas.openxmlformats.org/officeDocument/2006/relationships/image" Target="../media/image32.jpeg"/><Relationship Id="rId33" Type="http://schemas.openxmlformats.org/officeDocument/2006/relationships/image" Target="../media/image33.jpeg"/><Relationship Id="rId34" Type="http://schemas.openxmlformats.org/officeDocument/2006/relationships/image" Target="../media/image34.jpeg"/><Relationship Id="rId35" Type="http://schemas.openxmlformats.org/officeDocument/2006/relationships/image" Target="../media/image35.jpeg"/><Relationship Id="rId36" Type="http://schemas.openxmlformats.org/officeDocument/2006/relationships/image" Target="../media/image36.jpeg"/><Relationship Id="rId37" Type="http://schemas.openxmlformats.org/officeDocument/2006/relationships/image" Target="../media/image37.jpeg"/><Relationship Id="rId38" Type="http://schemas.openxmlformats.org/officeDocument/2006/relationships/image" Target="../media/image38.jpeg"/><Relationship Id="rId39" Type="http://schemas.openxmlformats.org/officeDocument/2006/relationships/image" Target="../media/image39.jpeg"/><Relationship Id="rId40" Type="http://schemas.openxmlformats.org/officeDocument/2006/relationships/image" Target="../media/image40.jpeg"/><Relationship Id="rId41" Type="http://schemas.openxmlformats.org/officeDocument/2006/relationships/image" Target="../media/image41.jpeg"/><Relationship Id="rId42" Type="http://schemas.openxmlformats.org/officeDocument/2006/relationships/image" Target="../media/image42.jpeg"/><Relationship Id="rId43" Type="http://schemas.openxmlformats.org/officeDocument/2006/relationships/image" Target="../media/image43.jpeg"/><Relationship Id="rId44" Type="http://schemas.openxmlformats.org/officeDocument/2006/relationships/image" Target="../media/image44.jpeg"/><Relationship Id="rId45" Type="http://schemas.openxmlformats.org/officeDocument/2006/relationships/image" Target="../media/image45.jpeg"/><Relationship Id="rId46" Type="http://schemas.openxmlformats.org/officeDocument/2006/relationships/image" Target="../media/image46.jpeg"/><Relationship Id="rId47" Type="http://schemas.openxmlformats.org/officeDocument/2006/relationships/image" Target="../media/image47.jpeg"/><Relationship Id="rId48" Type="http://schemas.openxmlformats.org/officeDocument/2006/relationships/image" Target="../media/image48.jpeg"/><Relationship Id="rId49" Type="http://schemas.openxmlformats.org/officeDocument/2006/relationships/image" Target="../media/image49.jpeg"/><Relationship Id="rId50" Type="http://schemas.openxmlformats.org/officeDocument/2006/relationships/image" Target="../media/image50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7</xdr:row>
      <xdr:rowOff>0</xdr:rowOff>
    </xdr:from>
    <xdr:to>
      <xdr:col>0</xdr:col>
      <xdr:colOff>2666520</xdr:colOff>
      <xdr:row>7</xdr:row>
      <xdr:rowOff>1780920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30481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2666520</xdr:colOff>
      <xdr:row>7</xdr:row>
      <xdr:rowOff>1780920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2819520" y="30481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2666520</xdr:colOff>
      <xdr:row>7</xdr:row>
      <xdr:rowOff>1780920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5638680" y="30481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2666520</xdr:colOff>
      <xdr:row>11</xdr:row>
      <xdr:rowOff>1780920</xdr:rowOff>
    </xdr:to>
    <xdr:pic>
      <xdr:nvPicPr>
        <xdr:cNvPr id="3" name="Image 4" descr="Picture"/>
        <xdr:cNvPicPr/>
      </xdr:nvPicPr>
      <xdr:blipFill>
        <a:blip r:embed="rId4"/>
        <a:stretch/>
      </xdr:blipFill>
      <xdr:spPr>
        <a:xfrm>
          <a:off x="0" y="604836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2666520</xdr:colOff>
      <xdr:row>11</xdr:row>
      <xdr:rowOff>1780920</xdr:rowOff>
    </xdr:to>
    <xdr:pic>
      <xdr:nvPicPr>
        <xdr:cNvPr id="4" name="Image 5" descr="Picture"/>
        <xdr:cNvPicPr/>
      </xdr:nvPicPr>
      <xdr:blipFill>
        <a:blip r:embed="rId5"/>
        <a:stretch/>
      </xdr:blipFill>
      <xdr:spPr>
        <a:xfrm>
          <a:off x="2819520" y="604836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2666520</xdr:colOff>
      <xdr:row>11</xdr:row>
      <xdr:rowOff>1780920</xdr:rowOff>
    </xdr:to>
    <xdr:pic>
      <xdr:nvPicPr>
        <xdr:cNvPr id="5" name="Image 6" descr="Picture"/>
        <xdr:cNvPicPr/>
      </xdr:nvPicPr>
      <xdr:blipFill>
        <a:blip r:embed="rId6"/>
        <a:stretch/>
      </xdr:blipFill>
      <xdr:spPr>
        <a:xfrm>
          <a:off x="5638680" y="604836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2666520</xdr:colOff>
      <xdr:row>15</xdr:row>
      <xdr:rowOff>1780920</xdr:rowOff>
    </xdr:to>
    <xdr:pic>
      <xdr:nvPicPr>
        <xdr:cNvPr id="6" name="Image 7" descr="Picture"/>
        <xdr:cNvPicPr/>
      </xdr:nvPicPr>
      <xdr:blipFill>
        <a:blip r:embed="rId7"/>
        <a:stretch/>
      </xdr:blipFill>
      <xdr:spPr>
        <a:xfrm>
          <a:off x="0" y="90486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2666520</xdr:colOff>
      <xdr:row>15</xdr:row>
      <xdr:rowOff>1780920</xdr:rowOff>
    </xdr:to>
    <xdr:pic>
      <xdr:nvPicPr>
        <xdr:cNvPr id="7" name="Image 8" descr="Picture"/>
        <xdr:cNvPicPr/>
      </xdr:nvPicPr>
      <xdr:blipFill>
        <a:blip r:embed="rId8"/>
        <a:stretch/>
      </xdr:blipFill>
      <xdr:spPr>
        <a:xfrm>
          <a:off x="2819520" y="90486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2666520</xdr:colOff>
      <xdr:row>15</xdr:row>
      <xdr:rowOff>1780920</xdr:rowOff>
    </xdr:to>
    <xdr:pic>
      <xdr:nvPicPr>
        <xdr:cNvPr id="8" name="Image 9" descr="Picture"/>
        <xdr:cNvPicPr/>
      </xdr:nvPicPr>
      <xdr:blipFill>
        <a:blip r:embed="rId9"/>
        <a:stretch/>
      </xdr:blipFill>
      <xdr:spPr>
        <a:xfrm>
          <a:off x="5638680" y="90486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2666520</xdr:colOff>
      <xdr:row>19</xdr:row>
      <xdr:rowOff>1780920</xdr:rowOff>
    </xdr:to>
    <xdr:pic>
      <xdr:nvPicPr>
        <xdr:cNvPr id="9" name="Image 10" descr="Picture"/>
        <xdr:cNvPicPr/>
      </xdr:nvPicPr>
      <xdr:blipFill>
        <a:blip r:embed="rId10"/>
        <a:stretch/>
      </xdr:blipFill>
      <xdr:spPr>
        <a:xfrm>
          <a:off x="0" y="120492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2666520</xdr:colOff>
      <xdr:row>19</xdr:row>
      <xdr:rowOff>1780920</xdr:rowOff>
    </xdr:to>
    <xdr:pic>
      <xdr:nvPicPr>
        <xdr:cNvPr id="10" name="Image 11" descr="Picture"/>
        <xdr:cNvPicPr/>
      </xdr:nvPicPr>
      <xdr:blipFill>
        <a:blip r:embed="rId11"/>
        <a:stretch/>
      </xdr:blipFill>
      <xdr:spPr>
        <a:xfrm>
          <a:off x="2819520" y="120492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2666520</xdr:colOff>
      <xdr:row>19</xdr:row>
      <xdr:rowOff>1780920</xdr:rowOff>
    </xdr:to>
    <xdr:pic>
      <xdr:nvPicPr>
        <xdr:cNvPr id="11" name="Image 12" descr="Picture"/>
        <xdr:cNvPicPr/>
      </xdr:nvPicPr>
      <xdr:blipFill>
        <a:blip r:embed="rId12"/>
        <a:stretch/>
      </xdr:blipFill>
      <xdr:spPr>
        <a:xfrm>
          <a:off x="5638680" y="120492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2666520</xdr:colOff>
      <xdr:row>23</xdr:row>
      <xdr:rowOff>1780920</xdr:rowOff>
    </xdr:to>
    <xdr:pic>
      <xdr:nvPicPr>
        <xdr:cNvPr id="12" name="Image 13" descr="Picture"/>
        <xdr:cNvPicPr/>
      </xdr:nvPicPr>
      <xdr:blipFill>
        <a:blip r:embed="rId13"/>
        <a:stretch/>
      </xdr:blipFill>
      <xdr:spPr>
        <a:xfrm>
          <a:off x="0" y="1504944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2666520</xdr:colOff>
      <xdr:row>23</xdr:row>
      <xdr:rowOff>1780920</xdr:rowOff>
    </xdr:to>
    <xdr:pic>
      <xdr:nvPicPr>
        <xdr:cNvPr id="13" name="Image 14" descr="Picture"/>
        <xdr:cNvPicPr/>
      </xdr:nvPicPr>
      <xdr:blipFill>
        <a:blip r:embed="rId14"/>
        <a:stretch/>
      </xdr:blipFill>
      <xdr:spPr>
        <a:xfrm>
          <a:off x="2819520" y="1504944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2666520</xdr:colOff>
      <xdr:row>23</xdr:row>
      <xdr:rowOff>1780920</xdr:rowOff>
    </xdr:to>
    <xdr:pic>
      <xdr:nvPicPr>
        <xdr:cNvPr id="14" name="Image 15" descr="Picture"/>
        <xdr:cNvPicPr/>
      </xdr:nvPicPr>
      <xdr:blipFill>
        <a:blip r:embed="rId15"/>
        <a:stretch/>
      </xdr:blipFill>
      <xdr:spPr>
        <a:xfrm>
          <a:off x="5638680" y="1504944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2666520</xdr:colOff>
      <xdr:row>27</xdr:row>
      <xdr:rowOff>1780920</xdr:rowOff>
    </xdr:to>
    <xdr:pic>
      <xdr:nvPicPr>
        <xdr:cNvPr id="15" name="Image 16" descr="Picture"/>
        <xdr:cNvPicPr/>
      </xdr:nvPicPr>
      <xdr:blipFill>
        <a:blip r:embed="rId16"/>
        <a:stretch/>
      </xdr:blipFill>
      <xdr:spPr>
        <a:xfrm>
          <a:off x="0" y="1805004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2666520</xdr:colOff>
      <xdr:row>27</xdr:row>
      <xdr:rowOff>1780920</xdr:rowOff>
    </xdr:to>
    <xdr:pic>
      <xdr:nvPicPr>
        <xdr:cNvPr id="16" name="Image 17" descr="Picture"/>
        <xdr:cNvPicPr/>
      </xdr:nvPicPr>
      <xdr:blipFill>
        <a:blip r:embed="rId17"/>
        <a:stretch/>
      </xdr:blipFill>
      <xdr:spPr>
        <a:xfrm>
          <a:off x="2819520" y="1805004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2666520</xdr:colOff>
      <xdr:row>27</xdr:row>
      <xdr:rowOff>1780920</xdr:rowOff>
    </xdr:to>
    <xdr:pic>
      <xdr:nvPicPr>
        <xdr:cNvPr id="17" name="Image 18" descr="Picture"/>
        <xdr:cNvPicPr/>
      </xdr:nvPicPr>
      <xdr:blipFill>
        <a:blip r:embed="rId18"/>
        <a:stretch/>
      </xdr:blipFill>
      <xdr:spPr>
        <a:xfrm>
          <a:off x="5638680" y="1805004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2666520</xdr:colOff>
      <xdr:row>31</xdr:row>
      <xdr:rowOff>1780920</xdr:rowOff>
    </xdr:to>
    <xdr:pic>
      <xdr:nvPicPr>
        <xdr:cNvPr id="18" name="Image 19" descr="Picture"/>
        <xdr:cNvPicPr/>
      </xdr:nvPicPr>
      <xdr:blipFill>
        <a:blip r:embed="rId19"/>
        <a:stretch/>
      </xdr:blipFill>
      <xdr:spPr>
        <a:xfrm>
          <a:off x="0" y="2105028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2666520</xdr:colOff>
      <xdr:row>31</xdr:row>
      <xdr:rowOff>1780920</xdr:rowOff>
    </xdr:to>
    <xdr:pic>
      <xdr:nvPicPr>
        <xdr:cNvPr id="19" name="Image 20" descr="Picture"/>
        <xdr:cNvPicPr/>
      </xdr:nvPicPr>
      <xdr:blipFill>
        <a:blip r:embed="rId20"/>
        <a:stretch/>
      </xdr:blipFill>
      <xdr:spPr>
        <a:xfrm>
          <a:off x="2819520" y="2105028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2666520</xdr:colOff>
      <xdr:row>31</xdr:row>
      <xdr:rowOff>1780920</xdr:rowOff>
    </xdr:to>
    <xdr:pic>
      <xdr:nvPicPr>
        <xdr:cNvPr id="20" name="Image 21" descr="Picture"/>
        <xdr:cNvPicPr/>
      </xdr:nvPicPr>
      <xdr:blipFill>
        <a:blip r:embed="rId21"/>
        <a:stretch/>
      </xdr:blipFill>
      <xdr:spPr>
        <a:xfrm>
          <a:off x="5638680" y="2105028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2666520</xdr:colOff>
      <xdr:row>35</xdr:row>
      <xdr:rowOff>1780920</xdr:rowOff>
    </xdr:to>
    <xdr:pic>
      <xdr:nvPicPr>
        <xdr:cNvPr id="21" name="Image 22" descr="Picture"/>
        <xdr:cNvPicPr/>
      </xdr:nvPicPr>
      <xdr:blipFill>
        <a:blip r:embed="rId22"/>
        <a:stretch/>
      </xdr:blipFill>
      <xdr:spPr>
        <a:xfrm>
          <a:off x="0" y="240505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2666520</xdr:colOff>
      <xdr:row>35</xdr:row>
      <xdr:rowOff>1780920</xdr:rowOff>
    </xdr:to>
    <xdr:pic>
      <xdr:nvPicPr>
        <xdr:cNvPr id="22" name="Image 23" descr="Picture"/>
        <xdr:cNvPicPr/>
      </xdr:nvPicPr>
      <xdr:blipFill>
        <a:blip r:embed="rId23"/>
        <a:stretch/>
      </xdr:blipFill>
      <xdr:spPr>
        <a:xfrm>
          <a:off x="2819520" y="240505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2666520</xdr:colOff>
      <xdr:row>35</xdr:row>
      <xdr:rowOff>1780920</xdr:rowOff>
    </xdr:to>
    <xdr:pic>
      <xdr:nvPicPr>
        <xdr:cNvPr id="23" name="Image 24" descr="Picture"/>
        <xdr:cNvPicPr/>
      </xdr:nvPicPr>
      <xdr:blipFill>
        <a:blip r:embed="rId24"/>
        <a:stretch/>
      </xdr:blipFill>
      <xdr:spPr>
        <a:xfrm>
          <a:off x="5638680" y="240505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2666520</xdr:colOff>
      <xdr:row>39</xdr:row>
      <xdr:rowOff>1780920</xdr:rowOff>
    </xdr:to>
    <xdr:pic>
      <xdr:nvPicPr>
        <xdr:cNvPr id="24" name="Image 25" descr="Picture"/>
        <xdr:cNvPicPr/>
      </xdr:nvPicPr>
      <xdr:blipFill>
        <a:blip r:embed="rId25"/>
        <a:stretch/>
      </xdr:blipFill>
      <xdr:spPr>
        <a:xfrm>
          <a:off x="0" y="270511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2666520</xdr:colOff>
      <xdr:row>39</xdr:row>
      <xdr:rowOff>1780920</xdr:rowOff>
    </xdr:to>
    <xdr:pic>
      <xdr:nvPicPr>
        <xdr:cNvPr id="25" name="Image 26" descr="Picture"/>
        <xdr:cNvPicPr/>
      </xdr:nvPicPr>
      <xdr:blipFill>
        <a:blip r:embed="rId26"/>
        <a:stretch/>
      </xdr:blipFill>
      <xdr:spPr>
        <a:xfrm>
          <a:off x="2819520" y="270511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2666520</xdr:colOff>
      <xdr:row>39</xdr:row>
      <xdr:rowOff>1780920</xdr:rowOff>
    </xdr:to>
    <xdr:pic>
      <xdr:nvPicPr>
        <xdr:cNvPr id="26" name="Image 27" descr="Picture"/>
        <xdr:cNvPicPr/>
      </xdr:nvPicPr>
      <xdr:blipFill>
        <a:blip r:embed="rId27"/>
        <a:stretch/>
      </xdr:blipFill>
      <xdr:spPr>
        <a:xfrm>
          <a:off x="5638680" y="270511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2666520</xdr:colOff>
      <xdr:row>43</xdr:row>
      <xdr:rowOff>1780920</xdr:rowOff>
    </xdr:to>
    <xdr:pic>
      <xdr:nvPicPr>
        <xdr:cNvPr id="27" name="Image 28" descr="Picture"/>
        <xdr:cNvPicPr/>
      </xdr:nvPicPr>
      <xdr:blipFill>
        <a:blip r:embed="rId28"/>
        <a:stretch/>
      </xdr:blipFill>
      <xdr:spPr>
        <a:xfrm>
          <a:off x="0" y="3005136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2666520</xdr:colOff>
      <xdr:row>43</xdr:row>
      <xdr:rowOff>1780920</xdr:rowOff>
    </xdr:to>
    <xdr:pic>
      <xdr:nvPicPr>
        <xdr:cNvPr id="28" name="Image 29" descr="Picture"/>
        <xdr:cNvPicPr/>
      </xdr:nvPicPr>
      <xdr:blipFill>
        <a:blip r:embed="rId29"/>
        <a:stretch/>
      </xdr:blipFill>
      <xdr:spPr>
        <a:xfrm>
          <a:off x="2819520" y="3005136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2666520</xdr:colOff>
      <xdr:row>43</xdr:row>
      <xdr:rowOff>1780920</xdr:rowOff>
    </xdr:to>
    <xdr:pic>
      <xdr:nvPicPr>
        <xdr:cNvPr id="29" name="Image 30" descr="Picture"/>
        <xdr:cNvPicPr/>
      </xdr:nvPicPr>
      <xdr:blipFill>
        <a:blip r:embed="rId30"/>
        <a:stretch/>
      </xdr:blipFill>
      <xdr:spPr>
        <a:xfrm>
          <a:off x="5638680" y="3005136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2666520</xdr:colOff>
      <xdr:row>47</xdr:row>
      <xdr:rowOff>1780920</xdr:rowOff>
    </xdr:to>
    <xdr:pic>
      <xdr:nvPicPr>
        <xdr:cNvPr id="30" name="Image 31" descr="Picture"/>
        <xdr:cNvPicPr/>
      </xdr:nvPicPr>
      <xdr:blipFill>
        <a:blip r:embed="rId31"/>
        <a:stretch/>
      </xdr:blipFill>
      <xdr:spPr>
        <a:xfrm>
          <a:off x="0" y="330516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2666520</xdr:colOff>
      <xdr:row>47</xdr:row>
      <xdr:rowOff>1780920</xdr:rowOff>
    </xdr:to>
    <xdr:pic>
      <xdr:nvPicPr>
        <xdr:cNvPr id="31" name="Image 32" descr="Picture"/>
        <xdr:cNvPicPr/>
      </xdr:nvPicPr>
      <xdr:blipFill>
        <a:blip r:embed="rId32"/>
        <a:stretch/>
      </xdr:blipFill>
      <xdr:spPr>
        <a:xfrm>
          <a:off x="2819520" y="330516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2666520</xdr:colOff>
      <xdr:row>47</xdr:row>
      <xdr:rowOff>1780920</xdr:rowOff>
    </xdr:to>
    <xdr:pic>
      <xdr:nvPicPr>
        <xdr:cNvPr id="32" name="Image 33" descr="Picture"/>
        <xdr:cNvPicPr/>
      </xdr:nvPicPr>
      <xdr:blipFill>
        <a:blip r:embed="rId33"/>
        <a:stretch/>
      </xdr:blipFill>
      <xdr:spPr>
        <a:xfrm>
          <a:off x="5638680" y="330516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2666520</xdr:colOff>
      <xdr:row>51</xdr:row>
      <xdr:rowOff>1780920</xdr:rowOff>
    </xdr:to>
    <xdr:pic>
      <xdr:nvPicPr>
        <xdr:cNvPr id="33" name="Image 34" descr="Picture"/>
        <xdr:cNvPicPr/>
      </xdr:nvPicPr>
      <xdr:blipFill>
        <a:blip r:embed="rId34"/>
        <a:stretch/>
      </xdr:blipFill>
      <xdr:spPr>
        <a:xfrm>
          <a:off x="0" y="360522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2666520</xdr:colOff>
      <xdr:row>51</xdr:row>
      <xdr:rowOff>1780920</xdr:rowOff>
    </xdr:to>
    <xdr:pic>
      <xdr:nvPicPr>
        <xdr:cNvPr id="34" name="Image 35" descr="Picture"/>
        <xdr:cNvPicPr/>
      </xdr:nvPicPr>
      <xdr:blipFill>
        <a:blip r:embed="rId35"/>
        <a:stretch/>
      </xdr:blipFill>
      <xdr:spPr>
        <a:xfrm>
          <a:off x="2819520" y="360522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2666520</xdr:colOff>
      <xdr:row>51</xdr:row>
      <xdr:rowOff>1780920</xdr:rowOff>
    </xdr:to>
    <xdr:pic>
      <xdr:nvPicPr>
        <xdr:cNvPr id="35" name="Image 36" descr="Picture"/>
        <xdr:cNvPicPr/>
      </xdr:nvPicPr>
      <xdr:blipFill>
        <a:blip r:embed="rId36"/>
        <a:stretch/>
      </xdr:blipFill>
      <xdr:spPr>
        <a:xfrm>
          <a:off x="5638680" y="360522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2666520</xdr:colOff>
      <xdr:row>55</xdr:row>
      <xdr:rowOff>1780920</xdr:rowOff>
    </xdr:to>
    <xdr:pic>
      <xdr:nvPicPr>
        <xdr:cNvPr id="36" name="Image 37" descr="Picture"/>
        <xdr:cNvPicPr/>
      </xdr:nvPicPr>
      <xdr:blipFill>
        <a:blip r:embed="rId37"/>
        <a:stretch/>
      </xdr:blipFill>
      <xdr:spPr>
        <a:xfrm>
          <a:off x="0" y="3905244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2666520</xdr:colOff>
      <xdr:row>55</xdr:row>
      <xdr:rowOff>1780920</xdr:rowOff>
    </xdr:to>
    <xdr:pic>
      <xdr:nvPicPr>
        <xdr:cNvPr id="37" name="Image 38" descr="Picture"/>
        <xdr:cNvPicPr/>
      </xdr:nvPicPr>
      <xdr:blipFill>
        <a:blip r:embed="rId38"/>
        <a:stretch/>
      </xdr:blipFill>
      <xdr:spPr>
        <a:xfrm>
          <a:off x="2819520" y="3905244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2666520</xdr:colOff>
      <xdr:row>55</xdr:row>
      <xdr:rowOff>1780920</xdr:rowOff>
    </xdr:to>
    <xdr:pic>
      <xdr:nvPicPr>
        <xdr:cNvPr id="38" name="Image 39" descr="Picture"/>
        <xdr:cNvPicPr/>
      </xdr:nvPicPr>
      <xdr:blipFill>
        <a:blip r:embed="rId39"/>
        <a:stretch/>
      </xdr:blipFill>
      <xdr:spPr>
        <a:xfrm>
          <a:off x="5638680" y="3905244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2666520</xdr:colOff>
      <xdr:row>59</xdr:row>
      <xdr:rowOff>1780920</xdr:rowOff>
    </xdr:to>
    <xdr:pic>
      <xdr:nvPicPr>
        <xdr:cNvPr id="39" name="Image 40" descr="Picture"/>
        <xdr:cNvPicPr/>
      </xdr:nvPicPr>
      <xdr:blipFill>
        <a:blip r:embed="rId40"/>
        <a:stretch/>
      </xdr:blipFill>
      <xdr:spPr>
        <a:xfrm>
          <a:off x="0" y="4205304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2666520</xdr:colOff>
      <xdr:row>59</xdr:row>
      <xdr:rowOff>1780920</xdr:rowOff>
    </xdr:to>
    <xdr:pic>
      <xdr:nvPicPr>
        <xdr:cNvPr id="40" name="Image 41" descr="Picture"/>
        <xdr:cNvPicPr/>
      </xdr:nvPicPr>
      <xdr:blipFill>
        <a:blip r:embed="rId41"/>
        <a:stretch/>
      </xdr:blipFill>
      <xdr:spPr>
        <a:xfrm>
          <a:off x="2819520" y="4205304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2666520</xdr:colOff>
      <xdr:row>59</xdr:row>
      <xdr:rowOff>1780920</xdr:rowOff>
    </xdr:to>
    <xdr:pic>
      <xdr:nvPicPr>
        <xdr:cNvPr id="41" name="Image 42" descr="Picture"/>
        <xdr:cNvPicPr/>
      </xdr:nvPicPr>
      <xdr:blipFill>
        <a:blip r:embed="rId42"/>
        <a:stretch/>
      </xdr:blipFill>
      <xdr:spPr>
        <a:xfrm>
          <a:off x="5638680" y="4205304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2666520</xdr:colOff>
      <xdr:row>63</xdr:row>
      <xdr:rowOff>1780920</xdr:rowOff>
    </xdr:to>
    <xdr:pic>
      <xdr:nvPicPr>
        <xdr:cNvPr id="42" name="Image 43" descr="Picture"/>
        <xdr:cNvPicPr/>
      </xdr:nvPicPr>
      <xdr:blipFill>
        <a:blip r:embed="rId43"/>
        <a:stretch/>
      </xdr:blipFill>
      <xdr:spPr>
        <a:xfrm>
          <a:off x="0" y="4505328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2666520</xdr:colOff>
      <xdr:row>63</xdr:row>
      <xdr:rowOff>1780920</xdr:rowOff>
    </xdr:to>
    <xdr:pic>
      <xdr:nvPicPr>
        <xdr:cNvPr id="43" name="Image 44" descr="Picture"/>
        <xdr:cNvPicPr/>
      </xdr:nvPicPr>
      <xdr:blipFill>
        <a:blip r:embed="rId44"/>
        <a:stretch/>
      </xdr:blipFill>
      <xdr:spPr>
        <a:xfrm>
          <a:off x="2819520" y="4505328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2666520</xdr:colOff>
      <xdr:row>63</xdr:row>
      <xdr:rowOff>1780920</xdr:rowOff>
    </xdr:to>
    <xdr:pic>
      <xdr:nvPicPr>
        <xdr:cNvPr id="44" name="Image 45" descr="Picture"/>
        <xdr:cNvPicPr/>
      </xdr:nvPicPr>
      <xdr:blipFill>
        <a:blip r:embed="rId45"/>
        <a:stretch/>
      </xdr:blipFill>
      <xdr:spPr>
        <a:xfrm>
          <a:off x="5638680" y="4505328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2666520</xdr:colOff>
      <xdr:row>67</xdr:row>
      <xdr:rowOff>1780920</xdr:rowOff>
    </xdr:to>
    <xdr:pic>
      <xdr:nvPicPr>
        <xdr:cNvPr id="45" name="Image 46" descr="Picture"/>
        <xdr:cNvPicPr/>
      </xdr:nvPicPr>
      <xdr:blipFill>
        <a:blip r:embed="rId46"/>
        <a:stretch/>
      </xdr:blipFill>
      <xdr:spPr>
        <a:xfrm>
          <a:off x="0" y="480535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2666520</xdr:colOff>
      <xdr:row>67</xdr:row>
      <xdr:rowOff>1780920</xdr:rowOff>
    </xdr:to>
    <xdr:pic>
      <xdr:nvPicPr>
        <xdr:cNvPr id="46" name="Image 47" descr="Picture"/>
        <xdr:cNvPicPr/>
      </xdr:nvPicPr>
      <xdr:blipFill>
        <a:blip r:embed="rId47"/>
        <a:stretch/>
      </xdr:blipFill>
      <xdr:spPr>
        <a:xfrm>
          <a:off x="2819520" y="480535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2666520</xdr:colOff>
      <xdr:row>67</xdr:row>
      <xdr:rowOff>1780920</xdr:rowOff>
    </xdr:to>
    <xdr:pic>
      <xdr:nvPicPr>
        <xdr:cNvPr id="47" name="Image 48" descr="Picture"/>
        <xdr:cNvPicPr/>
      </xdr:nvPicPr>
      <xdr:blipFill>
        <a:blip r:embed="rId48"/>
        <a:stretch/>
      </xdr:blipFill>
      <xdr:spPr>
        <a:xfrm>
          <a:off x="5638680" y="480535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2666520</xdr:colOff>
      <xdr:row>71</xdr:row>
      <xdr:rowOff>1780920</xdr:rowOff>
    </xdr:to>
    <xdr:pic>
      <xdr:nvPicPr>
        <xdr:cNvPr id="48" name="Image 49" descr="Picture"/>
        <xdr:cNvPicPr/>
      </xdr:nvPicPr>
      <xdr:blipFill>
        <a:blip r:embed="rId49"/>
        <a:stretch/>
      </xdr:blipFill>
      <xdr:spPr>
        <a:xfrm>
          <a:off x="0" y="510541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2666520</xdr:colOff>
      <xdr:row>71</xdr:row>
      <xdr:rowOff>1780920</xdr:rowOff>
    </xdr:to>
    <xdr:pic>
      <xdr:nvPicPr>
        <xdr:cNvPr id="49" name="Image 50" descr="Picture"/>
        <xdr:cNvPicPr/>
      </xdr:nvPicPr>
      <xdr:blipFill>
        <a:blip r:embed="rId50"/>
        <a:stretch/>
      </xdr:blipFill>
      <xdr:spPr>
        <a:xfrm>
          <a:off x="2819520" y="510541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kasane-glass-plan.xlsx" TargetMode="External"/><Relationship Id="rId2" Type="http://schemas.openxmlformats.org/officeDocument/2006/relationships/hyperlink" Target="kasane-glass-plan.xlsx" TargetMode="External"/><Relationship Id="rId3" Type="http://schemas.openxmlformats.org/officeDocument/2006/relationships/hyperlink" Target="kasane-glass-plan.xlsx" TargetMode="External"/><Relationship Id="rId4" Type="http://schemas.openxmlformats.org/officeDocument/2006/relationships/hyperlink" Target="kasane-glass-plan.xlsx" TargetMode="External"/><Relationship Id="rId5" Type="http://schemas.openxmlformats.org/officeDocument/2006/relationships/hyperlink" Target="kasane-glass-plan.xlsx" TargetMode="External"/><Relationship Id="rId6" Type="http://schemas.openxmlformats.org/officeDocument/2006/relationships/hyperlink" Target="kasane-glass-plan.xlsx" TargetMode="External"/><Relationship Id="rId7" Type="http://schemas.openxmlformats.org/officeDocument/2006/relationships/hyperlink" Target="kasane-glass-plan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740"/>
    <pageSetUpPr fitToPage="true"/>
  </sheetPr>
  <dimension ref="A1:I36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16"/>
    <col collapsed="false" customWidth="true" hidden="false" outlineLevel="0" max="4" min="4" style="1" width="12"/>
    <col collapsed="false" customWidth="true" hidden="false" outlineLevel="0" max="5" min="5" style="1" width="34"/>
    <col collapsed="false" customWidth="true" hidden="false" outlineLevel="0" max="6" min="6" style="1" width="3"/>
    <col collapsed="false" customWidth="true" hidden="false" outlineLevel="0" max="7" min="7" style="1" width="16"/>
    <col collapsed="false" customWidth="true" hidden="false" outlineLevel="0" max="8" min="8" style="1" width="14"/>
    <col collapsed="false" customWidth="true" hidden="false" outlineLevel="0" max="9" min="9" style="1" width="3"/>
  </cols>
  <sheetData>
    <row r="1" customFormat="false" ht="9.7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A3" s="2"/>
      <c r="B3" s="3" t="s">
        <v>0</v>
      </c>
      <c r="C3" s="2"/>
      <c r="D3" s="2"/>
      <c r="E3" s="2"/>
      <c r="F3" s="2"/>
      <c r="G3" s="2"/>
      <c r="H3" s="2"/>
      <c r="I3" s="2"/>
    </row>
    <row r="4" customFormat="false" ht="43.5" hidden="false" customHeight="true" outlineLevel="0" collapsed="false">
      <c r="A4" s="2"/>
      <c r="B4" s="4" t="s">
        <v>1</v>
      </c>
      <c r="C4" s="2"/>
      <c r="D4" s="2"/>
      <c r="E4" s="2"/>
      <c r="F4" s="2"/>
      <c r="G4" s="2"/>
      <c r="H4" s="2"/>
      <c r="I4" s="2"/>
    </row>
    <row r="5" customFormat="false" ht="16.5" hidden="false" customHeight="true" outlineLevel="0" collapsed="false">
      <c r="A5" s="2"/>
      <c r="B5" s="5" t="s">
        <v>2</v>
      </c>
      <c r="C5" s="2"/>
      <c r="D5" s="2"/>
      <c r="E5" s="2"/>
      <c r="F5" s="2"/>
      <c r="G5" s="2"/>
      <c r="H5" s="2"/>
      <c r="I5" s="2"/>
    </row>
    <row r="6" customFormat="false" ht="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8.75" hidden="false" customHeight="true" outlineLevel="0" collapsed="false">
      <c r="A7" s="2"/>
      <c r="B7" s="6" t="str">
        <f aca="false">"制作期間　"&amp;TEXT(制作工程表!$B$4,"yyyy/m/d")&amp;" 〜 "&amp;TEXT(制作工程表!$H$34,"yyyy/m/d")&amp;"（約"&amp;ROUNDUP((制作工程表!$H$34-制作工程表!$B$4+1)/7,0)&amp;"週間）"</f>
        <v>制作期間　2026/11/2 〜 2027/4/6（約23週間）</v>
      </c>
      <c r="C7" s="2"/>
      <c r="D7" s="2"/>
      <c r="E7" s="2"/>
      <c r="F7" s="2"/>
      <c r="G7" s="2"/>
      <c r="H7" s="2"/>
      <c r="I7" s="2"/>
    </row>
    <row r="8" customFormat="false" ht="30" hidden="false" customHeight="true" outlineLevel="0" collapsed="false">
      <c r="A8" s="2"/>
      <c r="B8" s="7" t="s">
        <v>3</v>
      </c>
      <c r="C8" s="7"/>
      <c r="D8" s="7"/>
      <c r="E8" s="7"/>
      <c r="F8" s="7"/>
      <c r="G8" s="7"/>
      <c r="H8" s="7"/>
      <c r="I8" s="2"/>
    </row>
    <row r="9" customFormat="false" ht="4.5" hidden="false" customHeight="true" outlineLevel="0" collapsed="false">
      <c r="A9" s="8"/>
      <c r="B9" s="8"/>
      <c r="C9" s="8"/>
      <c r="D9" s="8"/>
      <c r="E9" s="8"/>
      <c r="F9" s="8"/>
      <c r="G9" s="8"/>
      <c r="H9" s="8"/>
      <c r="I9" s="8"/>
    </row>
    <row r="11" customFormat="false" ht="25.5" hidden="false" customHeight="true" outlineLevel="0" collapsed="false">
      <c r="B11" s="9" t="s">
        <v>4</v>
      </c>
      <c r="G11" s="9" t="s">
        <v>5</v>
      </c>
    </row>
    <row r="12" customFormat="false" ht="25.5" hidden="false" customHeight="true" outlineLevel="0" collapsed="false">
      <c r="B12" s="10" t="s">
        <v>6</v>
      </c>
      <c r="C12" s="10" t="s">
        <v>7</v>
      </c>
      <c r="D12" s="10" t="s">
        <v>8</v>
      </c>
      <c r="E12" s="10" t="s">
        <v>9</v>
      </c>
      <c r="G12" s="10" t="s">
        <v>10</v>
      </c>
      <c r="H12" s="10" t="s">
        <v>11</v>
      </c>
    </row>
    <row r="13" customFormat="false" ht="25.5" hidden="false" customHeight="true" outlineLevel="0" collapsed="false">
      <c r="B13" s="11" t="s">
        <v>12</v>
      </c>
      <c r="C13" s="12" t="n">
        <f aca="false">制作工程表!$G$9</f>
        <v>46328</v>
      </c>
      <c r="D13" s="13" t="s">
        <v>13</v>
      </c>
      <c r="E13" s="14" t="s">
        <v>14</v>
      </c>
      <c r="G13" s="11" t="s">
        <v>15</v>
      </c>
      <c r="H13" s="15" t="n">
        <f aca="false">COUNTA(制作工程表!$K$9:$K$34)</f>
        <v>26</v>
      </c>
    </row>
    <row r="14" customFormat="false" ht="25.5" hidden="false" customHeight="true" outlineLevel="0" collapsed="false">
      <c r="B14" s="11" t="s">
        <v>16</v>
      </c>
      <c r="C14" s="12" t="n">
        <f aca="false">制作工程表!$I$13</f>
        <v>46370</v>
      </c>
      <c r="D14" s="16" t="s">
        <v>17</v>
      </c>
      <c r="E14" s="14" t="s">
        <v>18</v>
      </c>
      <c r="G14" s="14" t="s">
        <v>19</v>
      </c>
      <c r="H14" s="17" t="n">
        <f aca="false">COUNTIF(制作工程表!$K$9:$K$34,"完了")</f>
        <v>0</v>
      </c>
    </row>
    <row r="15" customFormat="false" ht="25.5" hidden="false" customHeight="true" outlineLevel="0" collapsed="false">
      <c r="B15" s="11" t="s">
        <v>20</v>
      </c>
      <c r="C15" s="12" t="n">
        <f aca="false">制作工程表!$E$4</f>
        <v>46393</v>
      </c>
      <c r="D15" s="18" t="s">
        <v>21</v>
      </c>
      <c r="E15" s="14" t="s">
        <v>22</v>
      </c>
      <c r="G15" s="14" t="s">
        <v>23</v>
      </c>
      <c r="H15" s="17" t="n">
        <f aca="false">COUNTIF(制作工程表!$K$9:$K$34,"進行中")</f>
        <v>0</v>
      </c>
    </row>
    <row r="16" customFormat="false" ht="25.5" hidden="false" customHeight="true" outlineLevel="0" collapsed="false">
      <c r="B16" s="11" t="s">
        <v>24</v>
      </c>
      <c r="C16" s="12" t="n">
        <f aca="false">制作工程表!$H$4</f>
        <v>46394</v>
      </c>
      <c r="D16" s="18" t="s">
        <v>21</v>
      </c>
      <c r="E16" s="14" t="s">
        <v>25</v>
      </c>
      <c r="G16" s="14" t="s">
        <v>26</v>
      </c>
      <c r="H16" s="17" t="n">
        <f aca="false">COUNTIF(制作工程表!$K$9:$K$34,"確認待ち")</f>
        <v>0</v>
      </c>
    </row>
    <row r="17" customFormat="false" ht="25.5" hidden="false" customHeight="true" outlineLevel="0" collapsed="false">
      <c r="B17" s="11" t="s">
        <v>27</v>
      </c>
      <c r="C17" s="12" t="n">
        <f aca="false">制作工程表!$K$4</f>
        <v>46400</v>
      </c>
      <c r="D17" s="18" t="s">
        <v>21</v>
      </c>
      <c r="E17" s="14" t="s">
        <v>28</v>
      </c>
      <c r="G17" s="14" t="s">
        <v>29</v>
      </c>
      <c r="H17" s="17" t="n">
        <f aca="false">COUNTIF(制作工程表!$K$9:$K$34,"要調整")</f>
        <v>0</v>
      </c>
    </row>
    <row r="18" customFormat="false" ht="25.5" hidden="false" customHeight="true" outlineLevel="0" collapsed="false">
      <c r="B18" s="11" t="s">
        <v>30</v>
      </c>
      <c r="C18" s="12" t="n">
        <f aca="false">制作工程表!$I$24</f>
        <v>46427</v>
      </c>
      <c r="D18" s="16" t="s">
        <v>17</v>
      </c>
      <c r="E18" s="14" t="s">
        <v>31</v>
      </c>
      <c r="G18" s="14" t="s">
        <v>32</v>
      </c>
      <c r="H18" s="17" t="n">
        <f aca="false">COUNTIF(制作工程表!$K$9:$K$34,"未着手")</f>
        <v>26</v>
      </c>
    </row>
    <row r="19" customFormat="false" ht="31.5" hidden="false" customHeight="true" outlineLevel="0" collapsed="false">
      <c r="B19" s="11" t="s">
        <v>33</v>
      </c>
      <c r="C19" s="12" t="n">
        <f aca="false">制作工程表!$I$28</f>
        <v>46433</v>
      </c>
      <c r="D19" s="16" t="s">
        <v>17</v>
      </c>
      <c r="E19" s="14" t="s">
        <v>34</v>
      </c>
      <c r="G19" s="19" t="s">
        <v>35</v>
      </c>
      <c r="H19" s="20" t="n">
        <f aca="false">IF(H13=0,0,H14/H13)</f>
        <v>0</v>
      </c>
    </row>
    <row r="20" customFormat="false" ht="25.5" hidden="false" customHeight="true" outlineLevel="0" collapsed="false">
      <c r="B20" s="11" t="s">
        <v>36</v>
      </c>
      <c r="C20" s="12" t="n">
        <f aca="false">制作工程表!$I$32</f>
        <v>46478</v>
      </c>
      <c r="D20" s="16" t="s">
        <v>17</v>
      </c>
      <c r="E20" s="14" t="s">
        <v>37</v>
      </c>
      <c r="G20" s="21" t="s">
        <v>38</v>
      </c>
    </row>
    <row r="21" customFormat="false" ht="17.15" hidden="false" customHeight="false" outlineLevel="0" collapsed="false">
      <c r="B21" s="11" t="s">
        <v>39</v>
      </c>
      <c r="C21" s="12" t="n">
        <f aca="false">制作工程表!$H$34</f>
        <v>46483</v>
      </c>
      <c r="D21" s="13" t="s">
        <v>13</v>
      </c>
      <c r="E21" s="14" t="s">
        <v>40</v>
      </c>
    </row>
    <row r="24" customFormat="false" ht="25.5" hidden="false" customHeight="true" outlineLevel="0" collapsed="false">
      <c r="B24" s="9" t="s">
        <v>41</v>
      </c>
    </row>
    <row r="25" customFormat="false" ht="24" hidden="false" customHeight="true" outlineLevel="0" collapsed="false">
      <c r="B25" s="22" t="s">
        <v>42</v>
      </c>
      <c r="C25" s="23" t="s">
        <v>43</v>
      </c>
      <c r="D25" s="23"/>
      <c r="E25" s="23"/>
      <c r="F25" s="23"/>
      <c r="G25" s="23"/>
      <c r="H25" s="23"/>
    </row>
    <row r="26" customFormat="false" ht="24" hidden="false" customHeight="true" outlineLevel="0" collapsed="false">
      <c r="B26" s="22" t="s">
        <v>44</v>
      </c>
      <c r="C26" s="24" t="s">
        <v>45</v>
      </c>
      <c r="D26" s="24"/>
      <c r="E26" s="24"/>
      <c r="F26" s="24"/>
      <c r="G26" s="24"/>
      <c r="H26" s="24"/>
    </row>
    <row r="27" customFormat="false" ht="24" hidden="false" customHeight="true" outlineLevel="0" collapsed="false">
      <c r="B27" s="22" t="s">
        <v>46</v>
      </c>
      <c r="C27" s="23" t="s">
        <v>47</v>
      </c>
      <c r="D27" s="23"/>
      <c r="E27" s="23"/>
      <c r="F27" s="23"/>
      <c r="G27" s="23"/>
      <c r="H27" s="23"/>
    </row>
    <row r="28" customFormat="false" ht="24" hidden="false" customHeight="true" outlineLevel="0" collapsed="false">
      <c r="B28" s="22" t="s">
        <v>48</v>
      </c>
      <c r="C28" s="23" t="s">
        <v>49</v>
      </c>
      <c r="D28" s="23"/>
      <c r="E28" s="23"/>
      <c r="F28" s="23"/>
      <c r="G28" s="23"/>
      <c r="H28" s="23"/>
    </row>
    <row r="29" customFormat="false" ht="24" hidden="false" customHeight="true" outlineLevel="0" collapsed="false">
      <c r="B29" s="22" t="s">
        <v>50</v>
      </c>
      <c r="C29" s="23" t="s">
        <v>51</v>
      </c>
      <c r="D29" s="23"/>
      <c r="E29" s="23"/>
      <c r="F29" s="23"/>
      <c r="G29" s="23"/>
      <c r="H29" s="23"/>
    </row>
    <row r="30" customFormat="false" ht="24" hidden="false" customHeight="true" outlineLevel="0" collapsed="false">
      <c r="B30" s="22" t="s">
        <v>52</v>
      </c>
      <c r="C30" s="24" t="s">
        <v>53</v>
      </c>
      <c r="D30" s="24"/>
      <c r="E30" s="24"/>
      <c r="F30" s="24"/>
      <c r="G30" s="24"/>
      <c r="H30" s="24"/>
    </row>
    <row r="31" customFormat="false" ht="24" hidden="false" customHeight="true" outlineLevel="0" collapsed="false">
      <c r="B31" s="22" t="s">
        <v>54</v>
      </c>
      <c r="C31" s="23" t="s">
        <v>55</v>
      </c>
      <c r="D31" s="23"/>
      <c r="E31" s="23"/>
      <c r="F31" s="23"/>
      <c r="G31" s="23"/>
      <c r="H31" s="23"/>
    </row>
    <row r="33" customFormat="false" ht="25.5" hidden="false" customHeight="true" outlineLevel="0" collapsed="false">
      <c r="B33" s="9" t="s">
        <v>56</v>
      </c>
    </row>
    <row r="34" customFormat="false" ht="24" hidden="false" customHeight="true" outlineLevel="0" collapsed="false">
      <c r="B34" s="25" t="s">
        <v>13</v>
      </c>
      <c r="C34" s="26" t="s">
        <v>17</v>
      </c>
      <c r="D34" s="27" t="s">
        <v>57</v>
      </c>
      <c r="E34" s="28" t="s">
        <v>58</v>
      </c>
    </row>
    <row r="36" customFormat="false" ht="15" hidden="false" customHeight="true" outlineLevel="0" collapsed="false">
      <c r="B36" s="21" t="s">
        <v>59</v>
      </c>
    </row>
  </sheetData>
  <mergeCells count="8">
    <mergeCell ref="B8:H8"/>
    <mergeCell ref="C25:H25"/>
    <mergeCell ref="C26:H26"/>
    <mergeCell ref="C27:H27"/>
    <mergeCell ref="C28:H28"/>
    <mergeCell ref="C29:H29"/>
    <mergeCell ref="C30:H30"/>
    <mergeCell ref="C31:H31"/>
  </mergeCells>
  <hyperlinks>
    <hyperlink ref="B25" r:id="rId1" location="'スケジュール'!A1" display="スケジュール"/>
    <hyperlink ref="B26" r:id="rId2" location="'制作工程表'!A1" display="制作工程表"/>
    <hyperlink ref="B27" r:id="rId3" location="'撮影指示書'!A1" display="撮影指示書"/>
    <hyperlink ref="B28" r:id="rId4" location="'撮影香盤表'!A1" display="撮影香盤表"/>
    <hyperlink ref="B29" r:id="rId5" location="'事前準備・出演者'!A1" display="事前準備・出演者"/>
    <hyperlink ref="B30" r:id="rId6" location="'サイト構成'!A1" display="サイト構成"/>
    <hyperlink ref="B31" r:id="rId7" location="'写真カット見本'!A1" display="写真カット見本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A93B"/>
    <pageSetUpPr fitToPage="true"/>
  </sheetPr>
  <dimension ref="A1:FV47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1"/>
    <col collapsed="false" customWidth="true" hidden="false" outlineLevel="0" max="3" min="3" style="1" width="27"/>
    <col collapsed="false" customWidth="true" hidden="false" outlineLevel="0" max="4" min="4" style="1" width="20"/>
    <col collapsed="false" customWidth="true" hidden="false" outlineLevel="0" max="5" min="5" style="1" width="17"/>
    <col collapsed="false" customWidth="true" hidden="false" outlineLevel="0" max="6" min="6" style="1" width="6"/>
    <col collapsed="false" customWidth="true" hidden="false" outlineLevel="0" max="8" min="7" style="1" width="8"/>
    <col collapsed="false" customWidth="true" hidden="false" outlineLevel="0" max="9" min="9" style="1" width="9.52"/>
    <col collapsed="false" customWidth="true" hidden="false" outlineLevel="0" max="10" min="10" style="1" width="9"/>
    <col collapsed="false" customWidth="true" hidden="false" outlineLevel="0" max="94" min="11" style="1" width="3.1"/>
    <col collapsed="false" customWidth="true" hidden="false" outlineLevel="0" max="178" min="95" style="0" width="3.1"/>
  </cols>
  <sheetData>
    <row r="1" customFormat="false" ht="6" hidden="false" customHeight="true" outlineLevel="0" collapsed="false">
      <c r="A1" s="8"/>
      <c r="B1" s="8"/>
    </row>
    <row r="2" customFormat="false" ht="36" hidden="false" customHeight="true" outlineLevel="0" collapsed="false">
      <c r="A2" s="29" t="s">
        <v>60</v>
      </c>
    </row>
    <row r="3" customFormat="false" ht="18" hidden="false" customHeight="true" outlineLevel="0" collapsed="false">
      <c r="A3" s="30" t="s">
        <v>61</v>
      </c>
    </row>
    <row r="4" customFormat="false" ht="21.75" hidden="false" customHeight="true" outlineLevel="0" collapsed="false">
      <c r="A4" s="31" t="s">
        <v>13</v>
      </c>
      <c r="B4" s="31"/>
      <c r="C4" s="32" t="s">
        <v>62</v>
      </c>
      <c r="D4" s="32"/>
      <c r="E4" s="33" t="s">
        <v>63</v>
      </c>
      <c r="F4" s="33"/>
      <c r="G4" s="34" t="s">
        <v>64</v>
      </c>
      <c r="H4" s="34"/>
      <c r="I4" s="35" t="s">
        <v>65</v>
      </c>
      <c r="J4" s="36"/>
      <c r="K4" s="30" t="s">
        <v>66</v>
      </c>
    </row>
    <row r="6" customFormat="false" ht="21.75" hidden="false" customHeight="true" outlineLevel="0" collapsed="false">
      <c r="A6" s="37" t="s">
        <v>67</v>
      </c>
      <c r="B6" s="38" t="s">
        <v>68</v>
      </c>
      <c r="C6" s="38" t="s">
        <v>69</v>
      </c>
      <c r="D6" s="38" t="s">
        <v>70</v>
      </c>
      <c r="E6" s="38" t="s">
        <v>71</v>
      </c>
      <c r="F6" s="38" t="s">
        <v>72</v>
      </c>
      <c r="G6" s="38" t="s">
        <v>73</v>
      </c>
      <c r="H6" s="38" t="s">
        <v>19</v>
      </c>
      <c r="I6" s="38" t="s">
        <v>74</v>
      </c>
      <c r="J6" s="38" t="s">
        <v>10</v>
      </c>
      <c r="K6" s="39" t="str">
        <f aca="false">"第1週　"&amp;TEXT(K7,"m/d")&amp;"〜"</f>
        <v>第1週　11/2〜</v>
      </c>
      <c r="L6" s="39"/>
      <c r="M6" s="39"/>
      <c r="N6" s="39"/>
      <c r="O6" s="39"/>
      <c r="P6" s="39"/>
      <c r="Q6" s="39"/>
      <c r="R6" s="40" t="str">
        <f aca="false">"第2週　"&amp;TEXT(R7,"m/d")&amp;"〜"</f>
        <v>第2週　11/9〜</v>
      </c>
      <c r="S6" s="40"/>
      <c r="T6" s="40"/>
      <c r="U6" s="40"/>
      <c r="V6" s="40"/>
      <c r="W6" s="40"/>
      <c r="X6" s="40"/>
      <c r="Y6" s="39" t="str">
        <f aca="false">"第3週　"&amp;TEXT(Y7,"m/d")&amp;"〜"</f>
        <v>第3週　11/16〜</v>
      </c>
      <c r="Z6" s="39"/>
      <c r="AA6" s="39"/>
      <c r="AB6" s="39"/>
      <c r="AC6" s="39"/>
      <c r="AD6" s="39"/>
      <c r="AE6" s="39"/>
      <c r="AF6" s="40" t="str">
        <f aca="false">"第4週　"&amp;TEXT(AF7,"m/d")&amp;"〜"</f>
        <v>第4週　11/23〜</v>
      </c>
      <c r="AG6" s="40"/>
      <c r="AH6" s="40"/>
      <c r="AI6" s="40"/>
      <c r="AJ6" s="40"/>
      <c r="AK6" s="40"/>
      <c r="AL6" s="40"/>
      <c r="AM6" s="39" t="str">
        <f aca="false">"第5週　"&amp;TEXT(AM7,"m/d")&amp;"〜"</f>
        <v>第5週　11/30〜</v>
      </c>
      <c r="AN6" s="39"/>
      <c r="AO6" s="39"/>
      <c r="AP6" s="39"/>
      <c r="AQ6" s="39"/>
      <c r="AR6" s="39"/>
      <c r="AS6" s="39"/>
      <c r="AT6" s="40" t="str">
        <f aca="false">"第6週　"&amp;TEXT(AT7,"m/d")&amp;"〜"</f>
        <v>第6週　12/7〜</v>
      </c>
      <c r="AU6" s="40"/>
      <c r="AV6" s="40"/>
      <c r="AW6" s="40"/>
      <c r="AX6" s="40"/>
      <c r="AY6" s="40"/>
      <c r="AZ6" s="40"/>
      <c r="BA6" s="39" t="str">
        <f aca="false">"第7週　"&amp;TEXT(BA7,"m/d")&amp;"〜"</f>
        <v>第7週　12/14〜</v>
      </c>
      <c r="BB6" s="39"/>
      <c r="BC6" s="39"/>
      <c r="BD6" s="39"/>
      <c r="BE6" s="39"/>
      <c r="BF6" s="39"/>
      <c r="BG6" s="39"/>
      <c r="BH6" s="40" t="str">
        <f aca="false">"第8週　"&amp;TEXT(BH7,"m/d")&amp;"〜"</f>
        <v>第8週　12/21〜</v>
      </c>
      <c r="BI6" s="40"/>
      <c r="BJ6" s="40"/>
      <c r="BK6" s="40"/>
      <c r="BL6" s="40"/>
      <c r="BM6" s="40"/>
      <c r="BN6" s="40"/>
      <c r="BO6" s="39" t="str">
        <f aca="false">"第9週　"&amp;TEXT(BO7,"m/d")&amp;"〜"</f>
        <v>第9週　12/28〜</v>
      </c>
      <c r="BP6" s="39"/>
      <c r="BQ6" s="39"/>
      <c r="BR6" s="39"/>
      <c r="BS6" s="39"/>
      <c r="BT6" s="39"/>
      <c r="BU6" s="39"/>
      <c r="BV6" s="40" t="str">
        <f aca="false">"第10週　"&amp;TEXT(BV7,"m/d")&amp;"〜"</f>
        <v>第10週　1/4〜</v>
      </c>
      <c r="BW6" s="40"/>
      <c r="BX6" s="40"/>
      <c r="BY6" s="40"/>
      <c r="BZ6" s="40"/>
      <c r="CA6" s="40"/>
      <c r="CB6" s="40"/>
      <c r="CC6" s="39" t="str">
        <f aca="false">"第11週　"&amp;TEXT(CC7,"m/d")&amp;"〜"</f>
        <v>第11週　1/11〜</v>
      </c>
      <c r="CD6" s="39"/>
      <c r="CE6" s="39"/>
      <c r="CF6" s="39"/>
      <c r="CG6" s="39"/>
      <c r="CH6" s="39"/>
      <c r="CI6" s="39"/>
      <c r="CJ6" s="40" t="str">
        <f aca="false">"第12週　"&amp;TEXT(CJ7,"m/d")&amp;"〜"</f>
        <v>第12週　1/18〜</v>
      </c>
      <c r="CK6" s="40"/>
      <c r="CL6" s="40"/>
      <c r="CM6" s="40"/>
      <c r="CN6" s="40"/>
      <c r="CO6" s="40"/>
      <c r="CP6" s="40"/>
      <c r="CQ6" s="40" t="str">
        <f aca="false">"第13週　"&amp;TEXT(CQ7,"m/d")&amp;"〜"</f>
        <v>第13週　1/25〜</v>
      </c>
      <c r="CR6" s="40"/>
      <c r="CS6" s="40"/>
      <c r="CT6" s="40"/>
      <c r="CU6" s="40"/>
      <c r="CV6" s="40"/>
      <c r="CW6" s="40"/>
      <c r="CX6" s="40" t="str">
        <f aca="false">"第14週　"&amp;TEXT(CX7,"m/d")&amp;"〜"</f>
        <v>第14週　2/1〜</v>
      </c>
      <c r="CY6" s="40"/>
      <c r="CZ6" s="40"/>
      <c r="DA6" s="40"/>
      <c r="DB6" s="40"/>
      <c r="DC6" s="40"/>
      <c r="DD6" s="40"/>
      <c r="DE6" s="40" t="str">
        <f aca="false">"第15週　"&amp;TEXT(DE7,"m/d")&amp;"〜"</f>
        <v>第15週　2/8〜</v>
      </c>
      <c r="DF6" s="40"/>
      <c r="DG6" s="40"/>
      <c r="DH6" s="40"/>
      <c r="DI6" s="40"/>
      <c r="DJ6" s="40"/>
      <c r="DK6" s="40"/>
      <c r="DL6" s="40" t="str">
        <f aca="false">"第16週　"&amp;TEXT(DL7,"m/d")&amp;"〜"</f>
        <v>第16週　2/15〜</v>
      </c>
      <c r="DM6" s="40"/>
      <c r="DN6" s="40"/>
      <c r="DO6" s="40"/>
      <c r="DP6" s="40"/>
      <c r="DQ6" s="40"/>
      <c r="DR6" s="40"/>
      <c r="DS6" s="40" t="str">
        <f aca="false">"第17週　"&amp;TEXT(DS7,"m/d")&amp;"〜"</f>
        <v>第17週　2/22〜</v>
      </c>
      <c r="DT6" s="40"/>
      <c r="DU6" s="40"/>
      <c r="DV6" s="40"/>
      <c r="DW6" s="40"/>
      <c r="DX6" s="40"/>
      <c r="DY6" s="40"/>
      <c r="DZ6" s="40" t="str">
        <f aca="false">"第18週　"&amp;TEXT(DZ7,"m/d")&amp;"〜"</f>
        <v>第18週　3/1〜</v>
      </c>
      <c r="EA6" s="40"/>
      <c r="EB6" s="40"/>
      <c r="EC6" s="40"/>
      <c r="ED6" s="40"/>
      <c r="EE6" s="40"/>
      <c r="EF6" s="40"/>
      <c r="EG6" s="40" t="str">
        <f aca="false">"第19週　"&amp;TEXT(EG7,"m/d")&amp;"〜"</f>
        <v>第19週　3/8〜</v>
      </c>
      <c r="EH6" s="40"/>
      <c r="EI6" s="40"/>
      <c r="EJ6" s="40"/>
      <c r="EK6" s="40"/>
      <c r="EL6" s="40"/>
      <c r="EM6" s="40"/>
      <c r="EN6" s="40" t="str">
        <f aca="false">"第20週　"&amp;TEXT(EN7,"m/d")&amp;"〜"</f>
        <v>第20週　3/15〜</v>
      </c>
      <c r="EO6" s="40"/>
      <c r="EP6" s="40"/>
      <c r="EQ6" s="40"/>
      <c r="ER6" s="40"/>
      <c r="ES6" s="40"/>
      <c r="ET6" s="40"/>
      <c r="EU6" s="40" t="str">
        <f aca="false">"第21週　"&amp;TEXT(EU7,"m/d")&amp;"〜"</f>
        <v>第21週　3/22〜</v>
      </c>
      <c r="EV6" s="40"/>
      <c r="EW6" s="40"/>
      <c r="EX6" s="40"/>
      <c r="EY6" s="40"/>
      <c r="EZ6" s="40"/>
      <c r="FA6" s="40"/>
      <c r="FB6" s="40" t="str">
        <f aca="false">"第22週　"&amp;TEXT(FB7,"m/d")&amp;"〜"</f>
        <v>第22週　3/29〜</v>
      </c>
      <c r="FC6" s="40"/>
      <c r="FD6" s="40"/>
      <c r="FE6" s="40"/>
      <c r="FF6" s="40"/>
      <c r="FG6" s="40"/>
      <c r="FH6" s="40"/>
      <c r="FI6" s="40" t="str">
        <f aca="false">"第23週　"&amp;TEXT(FI7,"m/d")&amp;"〜"</f>
        <v>第23週　4/5〜</v>
      </c>
      <c r="FJ6" s="40"/>
      <c r="FK6" s="40"/>
      <c r="FL6" s="40"/>
      <c r="FM6" s="40"/>
      <c r="FN6" s="40"/>
      <c r="FO6" s="40"/>
      <c r="FP6" s="40" t="str">
        <f aca="false">"第24週　"&amp;TEXT(FP7,"m/d")&amp;"〜"</f>
        <v>第24週　4/12〜</v>
      </c>
      <c r="FQ6" s="40"/>
      <c r="FR6" s="40"/>
      <c r="FS6" s="40"/>
      <c r="FT6" s="40"/>
      <c r="FU6" s="40"/>
      <c r="FV6" s="40"/>
    </row>
    <row r="7" customFormat="false" ht="18" hidden="false" customHeight="true" outlineLevel="0" collapsed="false">
      <c r="A7" s="37"/>
      <c r="B7" s="37"/>
      <c r="C7" s="37"/>
      <c r="D7" s="37"/>
      <c r="E7" s="37"/>
      <c r="F7" s="37"/>
      <c r="G7" s="37"/>
      <c r="H7" s="37"/>
      <c r="I7" s="37"/>
      <c r="J7" s="37"/>
      <c r="K7" s="41" t="n">
        <f aca="false">制作工程表!$B$4+0</f>
        <v>46328</v>
      </c>
      <c r="L7" s="41" t="n">
        <f aca="false">制作工程表!$B$4+1</f>
        <v>46329</v>
      </c>
      <c r="M7" s="41" t="n">
        <f aca="false">制作工程表!$B$4+2</f>
        <v>46330</v>
      </c>
      <c r="N7" s="41" t="n">
        <f aca="false">制作工程表!$B$4+3</f>
        <v>46331</v>
      </c>
      <c r="O7" s="41" t="n">
        <f aca="false">制作工程表!$B$4+4</f>
        <v>46332</v>
      </c>
      <c r="P7" s="41" t="n">
        <f aca="false">制作工程表!$B$4+5</f>
        <v>46333</v>
      </c>
      <c r="Q7" s="41" t="n">
        <f aca="false">制作工程表!$B$4+6</f>
        <v>46334</v>
      </c>
      <c r="R7" s="41" t="n">
        <f aca="false">制作工程表!$B$4+7</f>
        <v>46335</v>
      </c>
      <c r="S7" s="41" t="n">
        <f aca="false">制作工程表!$B$4+8</f>
        <v>46336</v>
      </c>
      <c r="T7" s="41" t="n">
        <f aca="false">制作工程表!$B$4+9</f>
        <v>46337</v>
      </c>
      <c r="U7" s="41" t="n">
        <f aca="false">制作工程表!$B$4+10</f>
        <v>46338</v>
      </c>
      <c r="V7" s="41" t="n">
        <f aca="false">制作工程表!$B$4+11</f>
        <v>46339</v>
      </c>
      <c r="W7" s="41" t="n">
        <f aca="false">制作工程表!$B$4+12</f>
        <v>46340</v>
      </c>
      <c r="X7" s="41" t="n">
        <f aca="false">制作工程表!$B$4+13</f>
        <v>46341</v>
      </c>
      <c r="Y7" s="41" t="n">
        <f aca="false">制作工程表!$B$4+14</f>
        <v>46342</v>
      </c>
      <c r="Z7" s="41" t="n">
        <f aca="false">制作工程表!$B$4+15</f>
        <v>46343</v>
      </c>
      <c r="AA7" s="41" t="n">
        <f aca="false">制作工程表!$B$4+16</f>
        <v>46344</v>
      </c>
      <c r="AB7" s="41" t="n">
        <f aca="false">制作工程表!$B$4+17</f>
        <v>46345</v>
      </c>
      <c r="AC7" s="41" t="n">
        <f aca="false">制作工程表!$B$4+18</f>
        <v>46346</v>
      </c>
      <c r="AD7" s="41" t="n">
        <f aca="false">制作工程表!$B$4+19</f>
        <v>46347</v>
      </c>
      <c r="AE7" s="41" t="n">
        <f aca="false">制作工程表!$B$4+20</f>
        <v>46348</v>
      </c>
      <c r="AF7" s="41" t="n">
        <f aca="false">制作工程表!$B$4+21</f>
        <v>46349</v>
      </c>
      <c r="AG7" s="41" t="n">
        <f aca="false">制作工程表!$B$4+22</f>
        <v>46350</v>
      </c>
      <c r="AH7" s="41" t="n">
        <f aca="false">制作工程表!$B$4+23</f>
        <v>46351</v>
      </c>
      <c r="AI7" s="41" t="n">
        <f aca="false">制作工程表!$B$4+24</f>
        <v>46352</v>
      </c>
      <c r="AJ7" s="41" t="n">
        <f aca="false">制作工程表!$B$4+25</f>
        <v>46353</v>
      </c>
      <c r="AK7" s="41" t="n">
        <f aca="false">制作工程表!$B$4+26</f>
        <v>46354</v>
      </c>
      <c r="AL7" s="41" t="n">
        <f aca="false">制作工程表!$B$4+27</f>
        <v>46355</v>
      </c>
      <c r="AM7" s="41" t="n">
        <f aca="false">制作工程表!$B$4+28</f>
        <v>46356</v>
      </c>
      <c r="AN7" s="41" t="n">
        <f aca="false">制作工程表!$B$4+29</f>
        <v>46357</v>
      </c>
      <c r="AO7" s="41" t="n">
        <f aca="false">制作工程表!$B$4+30</f>
        <v>46358</v>
      </c>
      <c r="AP7" s="41" t="n">
        <f aca="false">制作工程表!$B$4+31</f>
        <v>46359</v>
      </c>
      <c r="AQ7" s="41" t="n">
        <f aca="false">制作工程表!$B$4+32</f>
        <v>46360</v>
      </c>
      <c r="AR7" s="41" t="n">
        <f aca="false">制作工程表!$B$4+33</f>
        <v>46361</v>
      </c>
      <c r="AS7" s="41" t="n">
        <f aca="false">制作工程表!$B$4+34</f>
        <v>46362</v>
      </c>
      <c r="AT7" s="41" t="n">
        <f aca="false">制作工程表!$B$4+35</f>
        <v>46363</v>
      </c>
      <c r="AU7" s="41" t="n">
        <f aca="false">制作工程表!$B$4+36</f>
        <v>46364</v>
      </c>
      <c r="AV7" s="41" t="n">
        <f aca="false">制作工程表!$B$4+37</f>
        <v>46365</v>
      </c>
      <c r="AW7" s="41" t="n">
        <f aca="false">制作工程表!$B$4+38</f>
        <v>46366</v>
      </c>
      <c r="AX7" s="41" t="n">
        <f aca="false">制作工程表!$B$4+39</f>
        <v>46367</v>
      </c>
      <c r="AY7" s="41" t="n">
        <f aca="false">制作工程表!$B$4+40</f>
        <v>46368</v>
      </c>
      <c r="AZ7" s="41" t="n">
        <f aca="false">制作工程表!$B$4+41</f>
        <v>46369</v>
      </c>
      <c r="BA7" s="41" t="n">
        <f aca="false">制作工程表!$B$4+42</f>
        <v>46370</v>
      </c>
      <c r="BB7" s="41" t="n">
        <f aca="false">制作工程表!$B$4+43</f>
        <v>46371</v>
      </c>
      <c r="BC7" s="41" t="n">
        <f aca="false">制作工程表!$B$4+44</f>
        <v>46372</v>
      </c>
      <c r="BD7" s="41" t="n">
        <f aca="false">制作工程表!$B$4+45</f>
        <v>46373</v>
      </c>
      <c r="BE7" s="41" t="n">
        <f aca="false">制作工程表!$B$4+46</f>
        <v>46374</v>
      </c>
      <c r="BF7" s="41" t="n">
        <f aca="false">制作工程表!$B$4+47</f>
        <v>46375</v>
      </c>
      <c r="BG7" s="41" t="n">
        <f aca="false">制作工程表!$B$4+48</f>
        <v>46376</v>
      </c>
      <c r="BH7" s="41" t="n">
        <f aca="false">制作工程表!$B$4+49</f>
        <v>46377</v>
      </c>
      <c r="BI7" s="41" t="n">
        <f aca="false">制作工程表!$B$4+50</f>
        <v>46378</v>
      </c>
      <c r="BJ7" s="41" t="n">
        <f aca="false">制作工程表!$B$4+51</f>
        <v>46379</v>
      </c>
      <c r="BK7" s="41" t="n">
        <f aca="false">制作工程表!$B$4+52</f>
        <v>46380</v>
      </c>
      <c r="BL7" s="41" t="n">
        <f aca="false">制作工程表!$B$4+53</f>
        <v>46381</v>
      </c>
      <c r="BM7" s="41" t="n">
        <f aca="false">制作工程表!$B$4+54</f>
        <v>46382</v>
      </c>
      <c r="BN7" s="41" t="n">
        <f aca="false">制作工程表!$B$4+55</f>
        <v>46383</v>
      </c>
      <c r="BO7" s="41" t="n">
        <f aca="false">制作工程表!$B$4+56</f>
        <v>46384</v>
      </c>
      <c r="BP7" s="41" t="n">
        <f aca="false">制作工程表!$B$4+57</f>
        <v>46385</v>
      </c>
      <c r="BQ7" s="41" t="n">
        <f aca="false">制作工程表!$B$4+58</f>
        <v>46386</v>
      </c>
      <c r="BR7" s="41" t="n">
        <f aca="false">制作工程表!$B$4+59</f>
        <v>46387</v>
      </c>
      <c r="BS7" s="41" t="n">
        <f aca="false">制作工程表!$B$4+60</f>
        <v>46388</v>
      </c>
      <c r="BT7" s="41" t="n">
        <f aca="false">制作工程表!$B$4+61</f>
        <v>46389</v>
      </c>
      <c r="BU7" s="41" t="n">
        <f aca="false">制作工程表!$B$4+62</f>
        <v>46390</v>
      </c>
      <c r="BV7" s="41" t="n">
        <f aca="false">制作工程表!$B$4+63</f>
        <v>46391</v>
      </c>
      <c r="BW7" s="41" t="n">
        <f aca="false">制作工程表!$B$4+64</f>
        <v>46392</v>
      </c>
      <c r="BX7" s="41" t="n">
        <f aca="false">制作工程表!$B$4+65</f>
        <v>46393</v>
      </c>
      <c r="BY7" s="41" t="n">
        <f aca="false">制作工程表!$B$4+66</f>
        <v>46394</v>
      </c>
      <c r="BZ7" s="41" t="n">
        <f aca="false">制作工程表!$B$4+67</f>
        <v>46395</v>
      </c>
      <c r="CA7" s="41" t="n">
        <f aca="false">制作工程表!$B$4+68</f>
        <v>46396</v>
      </c>
      <c r="CB7" s="41" t="n">
        <f aca="false">制作工程表!$B$4+69</f>
        <v>46397</v>
      </c>
      <c r="CC7" s="41" t="n">
        <f aca="false">制作工程表!$B$4+70</f>
        <v>46398</v>
      </c>
      <c r="CD7" s="41" t="n">
        <f aca="false">制作工程表!$B$4+71</f>
        <v>46399</v>
      </c>
      <c r="CE7" s="41" t="n">
        <f aca="false">制作工程表!$B$4+72</f>
        <v>46400</v>
      </c>
      <c r="CF7" s="41" t="n">
        <f aca="false">制作工程表!$B$4+73</f>
        <v>46401</v>
      </c>
      <c r="CG7" s="41" t="n">
        <f aca="false">制作工程表!$B$4+74</f>
        <v>46402</v>
      </c>
      <c r="CH7" s="41" t="n">
        <f aca="false">制作工程表!$B$4+75</f>
        <v>46403</v>
      </c>
      <c r="CI7" s="41" t="n">
        <f aca="false">制作工程表!$B$4+76</f>
        <v>46404</v>
      </c>
      <c r="CJ7" s="41" t="n">
        <f aca="false">制作工程表!$B$4+77</f>
        <v>46405</v>
      </c>
      <c r="CK7" s="41" t="n">
        <f aca="false">制作工程表!$B$4+78</f>
        <v>46406</v>
      </c>
      <c r="CL7" s="41" t="n">
        <f aca="false">制作工程表!$B$4+79</f>
        <v>46407</v>
      </c>
      <c r="CM7" s="41" t="n">
        <f aca="false">制作工程表!$B$4+80</f>
        <v>46408</v>
      </c>
      <c r="CN7" s="41" t="n">
        <f aca="false">制作工程表!$B$4+81</f>
        <v>46409</v>
      </c>
      <c r="CO7" s="41" t="n">
        <f aca="false">制作工程表!$B$4+82</f>
        <v>46410</v>
      </c>
      <c r="CP7" s="41" t="n">
        <f aca="false">制作工程表!$B$4+83</f>
        <v>46411</v>
      </c>
      <c r="CQ7" s="41" t="n">
        <f aca="false">制作工程表!$B$4+84</f>
        <v>46412</v>
      </c>
      <c r="CR7" s="41" t="n">
        <f aca="false">制作工程表!$B$4+85</f>
        <v>46413</v>
      </c>
      <c r="CS7" s="41" t="n">
        <f aca="false">制作工程表!$B$4+86</f>
        <v>46414</v>
      </c>
      <c r="CT7" s="41" t="n">
        <f aca="false">制作工程表!$B$4+87</f>
        <v>46415</v>
      </c>
      <c r="CU7" s="41" t="n">
        <f aca="false">制作工程表!$B$4+88</f>
        <v>46416</v>
      </c>
      <c r="CV7" s="41" t="n">
        <f aca="false">制作工程表!$B$4+89</f>
        <v>46417</v>
      </c>
      <c r="CW7" s="41" t="n">
        <f aca="false">制作工程表!$B$4+90</f>
        <v>46418</v>
      </c>
      <c r="CX7" s="41" t="n">
        <f aca="false">制作工程表!$B$4+91</f>
        <v>46419</v>
      </c>
      <c r="CY7" s="41" t="n">
        <f aca="false">制作工程表!$B$4+92</f>
        <v>46420</v>
      </c>
      <c r="CZ7" s="41" t="n">
        <f aca="false">制作工程表!$B$4+93</f>
        <v>46421</v>
      </c>
      <c r="DA7" s="41" t="n">
        <f aca="false">制作工程表!$B$4+94</f>
        <v>46422</v>
      </c>
      <c r="DB7" s="41" t="n">
        <f aca="false">制作工程表!$B$4+95</f>
        <v>46423</v>
      </c>
      <c r="DC7" s="41" t="n">
        <f aca="false">制作工程表!$B$4+96</f>
        <v>46424</v>
      </c>
      <c r="DD7" s="41" t="n">
        <f aca="false">制作工程表!$B$4+97</f>
        <v>46425</v>
      </c>
      <c r="DE7" s="41" t="n">
        <f aca="false">制作工程表!$B$4+98</f>
        <v>46426</v>
      </c>
      <c r="DF7" s="41" t="n">
        <f aca="false">制作工程表!$B$4+99</f>
        <v>46427</v>
      </c>
      <c r="DG7" s="41" t="n">
        <f aca="false">制作工程表!$B$4+100</f>
        <v>46428</v>
      </c>
      <c r="DH7" s="41" t="n">
        <f aca="false">制作工程表!$B$4+101</f>
        <v>46429</v>
      </c>
      <c r="DI7" s="41" t="n">
        <f aca="false">制作工程表!$B$4+102</f>
        <v>46430</v>
      </c>
      <c r="DJ7" s="41" t="n">
        <f aca="false">制作工程表!$B$4+103</f>
        <v>46431</v>
      </c>
      <c r="DK7" s="41" t="n">
        <f aca="false">制作工程表!$B$4+104</f>
        <v>46432</v>
      </c>
      <c r="DL7" s="41" t="n">
        <f aca="false">制作工程表!$B$4+105</f>
        <v>46433</v>
      </c>
      <c r="DM7" s="41" t="n">
        <f aca="false">制作工程表!$B$4+106</f>
        <v>46434</v>
      </c>
      <c r="DN7" s="41" t="n">
        <f aca="false">制作工程表!$B$4+107</f>
        <v>46435</v>
      </c>
      <c r="DO7" s="41" t="n">
        <f aca="false">制作工程表!$B$4+108</f>
        <v>46436</v>
      </c>
      <c r="DP7" s="41" t="n">
        <f aca="false">制作工程表!$B$4+109</f>
        <v>46437</v>
      </c>
      <c r="DQ7" s="41" t="n">
        <f aca="false">制作工程表!$B$4+110</f>
        <v>46438</v>
      </c>
      <c r="DR7" s="41" t="n">
        <f aca="false">制作工程表!$B$4+111</f>
        <v>46439</v>
      </c>
      <c r="DS7" s="41" t="n">
        <f aca="false">制作工程表!$B$4+112</f>
        <v>46440</v>
      </c>
      <c r="DT7" s="41" t="n">
        <f aca="false">制作工程表!$B$4+113</f>
        <v>46441</v>
      </c>
      <c r="DU7" s="41" t="n">
        <f aca="false">制作工程表!$B$4+114</f>
        <v>46442</v>
      </c>
      <c r="DV7" s="41" t="n">
        <f aca="false">制作工程表!$B$4+115</f>
        <v>46443</v>
      </c>
      <c r="DW7" s="41" t="n">
        <f aca="false">制作工程表!$B$4+116</f>
        <v>46444</v>
      </c>
      <c r="DX7" s="41" t="n">
        <f aca="false">制作工程表!$B$4+117</f>
        <v>46445</v>
      </c>
      <c r="DY7" s="41" t="n">
        <f aca="false">制作工程表!$B$4+118</f>
        <v>46446</v>
      </c>
      <c r="DZ7" s="41" t="n">
        <f aca="false">制作工程表!$B$4+119</f>
        <v>46447</v>
      </c>
      <c r="EA7" s="41" t="n">
        <f aca="false">制作工程表!$B$4+120</f>
        <v>46448</v>
      </c>
      <c r="EB7" s="41" t="n">
        <f aca="false">制作工程表!$B$4+121</f>
        <v>46449</v>
      </c>
      <c r="EC7" s="41" t="n">
        <f aca="false">制作工程表!$B$4+122</f>
        <v>46450</v>
      </c>
      <c r="ED7" s="41" t="n">
        <f aca="false">制作工程表!$B$4+123</f>
        <v>46451</v>
      </c>
      <c r="EE7" s="41" t="n">
        <f aca="false">制作工程表!$B$4+124</f>
        <v>46452</v>
      </c>
      <c r="EF7" s="41" t="n">
        <f aca="false">制作工程表!$B$4+125</f>
        <v>46453</v>
      </c>
      <c r="EG7" s="41" t="n">
        <f aca="false">制作工程表!$B$4+126</f>
        <v>46454</v>
      </c>
      <c r="EH7" s="41" t="n">
        <f aca="false">制作工程表!$B$4+127</f>
        <v>46455</v>
      </c>
      <c r="EI7" s="41" t="n">
        <f aca="false">制作工程表!$B$4+128</f>
        <v>46456</v>
      </c>
      <c r="EJ7" s="41" t="n">
        <f aca="false">制作工程表!$B$4+129</f>
        <v>46457</v>
      </c>
      <c r="EK7" s="41" t="n">
        <f aca="false">制作工程表!$B$4+130</f>
        <v>46458</v>
      </c>
      <c r="EL7" s="41" t="n">
        <f aca="false">制作工程表!$B$4+131</f>
        <v>46459</v>
      </c>
      <c r="EM7" s="41" t="n">
        <f aca="false">制作工程表!$B$4+132</f>
        <v>46460</v>
      </c>
      <c r="EN7" s="41" t="n">
        <f aca="false">制作工程表!$B$4+133</f>
        <v>46461</v>
      </c>
      <c r="EO7" s="41" t="n">
        <f aca="false">制作工程表!$B$4+134</f>
        <v>46462</v>
      </c>
      <c r="EP7" s="41" t="n">
        <f aca="false">制作工程表!$B$4+135</f>
        <v>46463</v>
      </c>
      <c r="EQ7" s="41" t="n">
        <f aca="false">制作工程表!$B$4+136</f>
        <v>46464</v>
      </c>
      <c r="ER7" s="41" t="n">
        <f aca="false">制作工程表!$B$4+137</f>
        <v>46465</v>
      </c>
      <c r="ES7" s="41" t="n">
        <f aca="false">制作工程表!$B$4+138</f>
        <v>46466</v>
      </c>
      <c r="ET7" s="41" t="n">
        <f aca="false">制作工程表!$B$4+139</f>
        <v>46467</v>
      </c>
      <c r="EU7" s="41" t="n">
        <f aca="false">制作工程表!$B$4+140</f>
        <v>46468</v>
      </c>
      <c r="EV7" s="41" t="n">
        <f aca="false">制作工程表!$B$4+141</f>
        <v>46469</v>
      </c>
      <c r="EW7" s="41" t="n">
        <f aca="false">制作工程表!$B$4+142</f>
        <v>46470</v>
      </c>
      <c r="EX7" s="41" t="n">
        <f aca="false">制作工程表!$B$4+143</f>
        <v>46471</v>
      </c>
      <c r="EY7" s="41" t="n">
        <f aca="false">制作工程表!$B$4+144</f>
        <v>46472</v>
      </c>
      <c r="EZ7" s="41" t="n">
        <f aca="false">制作工程表!$B$4+145</f>
        <v>46473</v>
      </c>
      <c r="FA7" s="41" t="n">
        <f aca="false">制作工程表!$B$4+146</f>
        <v>46474</v>
      </c>
      <c r="FB7" s="41" t="n">
        <f aca="false">制作工程表!$B$4+147</f>
        <v>46475</v>
      </c>
      <c r="FC7" s="41" t="n">
        <f aca="false">制作工程表!$B$4+148</f>
        <v>46476</v>
      </c>
      <c r="FD7" s="41" t="n">
        <f aca="false">制作工程表!$B$4+149</f>
        <v>46477</v>
      </c>
      <c r="FE7" s="41" t="n">
        <f aca="false">制作工程表!$B$4+150</f>
        <v>46478</v>
      </c>
      <c r="FF7" s="41" t="n">
        <f aca="false">制作工程表!$B$4+151</f>
        <v>46479</v>
      </c>
      <c r="FG7" s="41" t="n">
        <f aca="false">制作工程表!$B$4+152</f>
        <v>46480</v>
      </c>
      <c r="FH7" s="41" t="n">
        <f aca="false">制作工程表!$B$4+153</f>
        <v>46481</v>
      </c>
      <c r="FI7" s="41" t="n">
        <f aca="false">制作工程表!$B$4+154</f>
        <v>46482</v>
      </c>
      <c r="FJ7" s="41" t="n">
        <f aca="false">制作工程表!$B$4+155</f>
        <v>46483</v>
      </c>
      <c r="FK7" s="41" t="n">
        <f aca="false">制作工程表!$B$4+156</f>
        <v>46484</v>
      </c>
      <c r="FL7" s="41" t="n">
        <f aca="false">制作工程表!$B$4+157</f>
        <v>46485</v>
      </c>
      <c r="FM7" s="41" t="n">
        <f aca="false">制作工程表!$B$4+158</f>
        <v>46486</v>
      </c>
      <c r="FN7" s="41" t="n">
        <f aca="false">制作工程表!$B$4+159</f>
        <v>46487</v>
      </c>
      <c r="FO7" s="41" t="n">
        <f aca="false">制作工程表!$B$4+160</f>
        <v>46488</v>
      </c>
      <c r="FP7" s="41" t="n">
        <f aca="false">制作工程表!$B$4+161</f>
        <v>46489</v>
      </c>
      <c r="FQ7" s="41" t="n">
        <f aca="false">制作工程表!$B$4+162</f>
        <v>46490</v>
      </c>
      <c r="FR7" s="41" t="n">
        <f aca="false">制作工程表!$B$4+163</f>
        <v>46491</v>
      </c>
      <c r="FS7" s="41" t="n">
        <f aca="false">制作工程表!$B$4+164</f>
        <v>46492</v>
      </c>
      <c r="FT7" s="41" t="n">
        <f aca="false">制作工程表!$B$4+165</f>
        <v>46493</v>
      </c>
      <c r="FU7" s="41" t="n">
        <f aca="false">制作工程表!$B$4+166</f>
        <v>46494</v>
      </c>
      <c r="FV7" s="41" t="n">
        <f aca="false">制作工程表!$B$4+167</f>
        <v>46495</v>
      </c>
    </row>
    <row r="8" customFormat="false" ht="18" hidden="false" customHeight="true" outlineLevel="0" collapsed="false">
      <c r="A8" s="37"/>
      <c r="B8" s="37"/>
      <c r="C8" s="37"/>
      <c r="D8" s="37"/>
      <c r="E8" s="37"/>
      <c r="F8" s="37"/>
      <c r="G8" s="37"/>
      <c r="H8" s="37"/>
      <c r="I8" s="37"/>
      <c r="J8" s="37"/>
      <c r="K8" s="42" t="str">
        <f aca="false">CHOOSE(WEEKDAY(K7),"日","月","火","水","木","金","土")</f>
        <v>月</v>
      </c>
      <c r="L8" s="42" t="str">
        <f aca="false">CHOOSE(WEEKDAY(L7),"日","月","火","水","木","金","土")</f>
        <v>火</v>
      </c>
      <c r="M8" s="42" t="str">
        <f aca="false">CHOOSE(WEEKDAY(M7),"日","月","火","水","木","金","土")</f>
        <v>水</v>
      </c>
      <c r="N8" s="42" t="str">
        <f aca="false">CHOOSE(WEEKDAY(N7),"日","月","火","水","木","金","土")</f>
        <v>木</v>
      </c>
      <c r="O8" s="42" t="str">
        <f aca="false">CHOOSE(WEEKDAY(O7),"日","月","火","水","木","金","土")</f>
        <v>金</v>
      </c>
      <c r="P8" s="42" t="str">
        <f aca="false">CHOOSE(WEEKDAY(P7),"日","月","火","水","木","金","土")</f>
        <v>土</v>
      </c>
      <c r="Q8" s="42" t="str">
        <f aca="false">CHOOSE(WEEKDAY(Q7),"日","月","火","水","木","金","土")</f>
        <v>日</v>
      </c>
      <c r="R8" s="42" t="str">
        <f aca="false">CHOOSE(WEEKDAY(R7),"日","月","火","水","木","金","土")</f>
        <v>月</v>
      </c>
      <c r="S8" s="42" t="str">
        <f aca="false">CHOOSE(WEEKDAY(S7),"日","月","火","水","木","金","土")</f>
        <v>火</v>
      </c>
      <c r="T8" s="42" t="str">
        <f aca="false">CHOOSE(WEEKDAY(T7),"日","月","火","水","木","金","土")</f>
        <v>水</v>
      </c>
      <c r="U8" s="42" t="str">
        <f aca="false">CHOOSE(WEEKDAY(U7),"日","月","火","水","木","金","土")</f>
        <v>木</v>
      </c>
      <c r="V8" s="42" t="str">
        <f aca="false">CHOOSE(WEEKDAY(V7),"日","月","火","水","木","金","土")</f>
        <v>金</v>
      </c>
      <c r="W8" s="42" t="str">
        <f aca="false">CHOOSE(WEEKDAY(W7),"日","月","火","水","木","金","土")</f>
        <v>土</v>
      </c>
      <c r="X8" s="42" t="str">
        <f aca="false">CHOOSE(WEEKDAY(X7),"日","月","火","水","木","金","土")</f>
        <v>日</v>
      </c>
      <c r="Y8" s="42" t="str">
        <f aca="false">CHOOSE(WEEKDAY(Y7),"日","月","火","水","木","金","土")</f>
        <v>月</v>
      </c>
      <c r="Z8" s="42" t="str">
        <f aca="false">CHOOSE(WEEKDAY(Z7),"日","月","火","水","木","金","土")</f>
        <v>火</v>
      </c>
      <c r="AA8" s="42" t="str">
        <f aca="false">CHOOSE(WEEKDAY(AA7),"日","月","火","水","木","金","土")</f>
        <v>水</v>
      </c>
      <c r="AB8" s="42" t="str">
        <f aca="false">CHOOSE(WEEKDAY(AB7),"日","月","火","水","木","金","土")</f>
        <v>木</v>
      </c>
      <c r="AC8" s="42" t="str">
        <f aca="false">CHOOSE(WEEKDAY(AC7),"日","月","火","水","木","金","土")</f>
        <v>金</v>
      </c>
      <c r="AD8" s="42" t="str">
        <f aca="false">CHOOSE(WEEKDAY(AD7),"日","月","火","水","木","金","土")</f>
        <v>土</v>
      </c>
      <c r="AE8" s="42" t="str">
        <f aca="false">CHOOSE(WEEKDAY(AE7),"日","月","火","水","木","金","土")</f>
        <v>日</v>
      </c>
      <c r="AF8" s="42" t="str">
        <f aca="false">CHOOSE(WEEKDAY(AF7),"日","月","火","水","木","金","土")</f>
        <v>月</v>
      </c>
      <c r="AG8" s="42" t="str">
        <f aca="false">CHOOSE(WEEKDAY(AG7),"日","月","火","水","木","金","土")</f>
        <v>火</v>
      </c>
      <c r="AH8" s="42" t="str">
        <f aca="false">CHOOSE(WEEKDAY(AH7),"日","月","火","水","木","金","土")</f>
        <v>水</v>
      </c>
      <c r="AI8" s="42" t="str">
        <f aca="false">CHOOSE(WEEKDAY(AI7),"日","月","火","水","木","金","土")</f>
        <v>木</v>
      </c>
      <c r="AJ8" s="42" t="str">
        <f aca="false">CHOOSE(WEEKDAY(AJ7),"日","月","火","水","木","金","土")</f>
        <v>金</v>
      </c>
      <c r="AK8" s="42" t="str">
        <f aca="false">CHOOSE(WEEKDAY(AK7),"日","月","火","水","木","金","土")</f>
        <v>土</v>
      </c>
      <c r="AL8" s="42" t="str">
        <f aca="false">CHOOSE(WEEKDAY(AL7),"日","月","火","水","木","金","土")</f>
        <v>日</v>
      </c>
      <c r="AM8" s="42" t="str">
        <f aca="false">CHOOSE(WEEKDAY(AM7),"日","月","火","水","木","金","土")</f>
        <v>月</v>
      </c>
      <c r="AN8" s="42" t="str">
        <f aca="false">CHOOSE(WEEKDAY(AN7),"日","月","火","水","木","金","土")</f>
        <v>火</v>
      </c>
      <c r="AO8" s="42" t="str">
        <f aca="false">CHOOSE(WEEKDAY(AO7),"日","月","火","水","木","金","土")</f>
        <v>水</v>
      </c>
      <c r="AP8" s="42" t="str">
        <f aca="false">CHOOSE(WEEKDAY(AP7),"日","月","火","水","木","金","土")</f>
        <v>木</v>
      </c>
      <c r="AQ8" s="42" t="str">
        <f aca="false">CHOOSE(WEEKDAY(AQ7),"日","月","火","水","木","金","土")</f>
        <v>金</v>
      </c>
      <c r="AR8" s="42" t="str">
        <f aca="false">CHOOSE(WEEKDAY(AR7),"日","月","火","水","木","金","土")</f>
        <v>土</v>
      </c>
      <c r="AS8" s="42" t="str">
        <f aca="false">CHOOSE(WEEKDAY(AS7),"日","月","火","水","木","金","土")</f>
        <v>日</v>
      </c>
      <c r="AT8" s="42" t="str">
        <f aca="false">CHOOSE(WEEKDAY(AT7),"日","月","火","水","木","金","土")</f>
        <v>月</v>
      </c>
      <c r="AU8" s="42" t="str">
        <f aca="false">CHOOSE(WEEKDAY(AU7),"日","月","火","水","木","金","土")</f>
        <v>火</v>
      </c>
      <c r="AV8" s="42" t="str">
        <f aca="false">CHOOSE(WEEKDAY(AV7),"日","月","火","水","木","金","土")</f>
        <v>水</v>
      </c>
      <c r="AW8" s="42" t="str">
        <f aca="false">CHOOSE(WEEKDAY(AW7),"日","月","火","水","木","金","土")</f>
        <v>木</v>
      </c>
      <c r="AX8" s="42" t="str">
        <f aca="false">CHOOSE(WEEKDAY(AX7),"日","月","火","水","木","金","土")</f>
        <v>金</v>
      </c>
      <c r="AY8" s="42" t="str">
        <f aca="false">CHOOSE(WEEKDAY(AY7),"日","月","火","水","木","金","土")</f>
        <v>土</v>
      </c>
      <c r="AZ8" s="42" t="str">
        <f aca="false">CHOOSE(WEEKDAY(AZ7),"日","月","火","水","木","金","土")</f>
        <v>日</v>
      </c>
      <c r="BA8" s="42" t="str">
        <f aca="false">CHOOSE(WEEKDAY(BA7),"日","月","火","水","木","金","土")</f>
        <v>月</v>
      </c>
      <c r="BB8" s="42" t="str">
        <f aca="false">CHOOSE(WEEKDAY(BB7),"日","月","火","水","木","金","土")</f>
        <v>火</v>
      </c>
      <c r="BC8" s="42" t="str">
        <f aca="false">CHOOSE(WEEKDAY(BC7),"日","月","火","水","木","金","土")</f>
        <v>水</v>
      </c>
      <c r="BD8" s="42" t="str">
        <f aca="false">CHOOSE(WEEKDAY(BD7),"日","月","火","水","木","金","土")</f>
        <v>木</v>
      </c>
      <c r="BE8" s="42" t="str">
        <f aca="false">CHOOSE(WEEKDAY(BE7),"日","月","火","水","木","金","土")</f>
        <v>金</v>
      </c>
      <c r="BF8" s="42" t="str">
        <f aca="false">CHOOSE(WEEKDAY(BF7),"日","月","火","水","木","金","土")</f>
        <v>土</v>
      </c>
      <c r="BG8" s="42" t="str">
        <f aca="false">CHOOSE(WEEKDAY(BG7),"日","月","火","水","木","金","土")</f>
        <v>日</v>
      </c>
      <c r="BH8" s="42" t="str">
        <f aca="false">CHOOSE(WEEKDAY(BH7),"日","月","火","水","木","金","土")</f>
        <v>月</v>
      </c>
      <c r="BI8" s="42" t="str">
        <f aca="false">CHOOSE(WEEKDAY(BI7),"日","月","火","水","木","金","土")</f>
        <v>火</v>
      </c>
      <c r="BJ8" s="42" t="str">
        <f aca="false">CHOOSE(WEEKDAY(BJ7),"日","月","火","水","木","金","土")</f>
        <v>水</v>
      </c>
      <c r="BK8" s="42" t="str">
        <f aca="false">CHOOSE(WEEKDAY(BK7),"日","月","火","水","木","金","土")</f>
        <v>木</v>
      </c>
      <c r="BL8" s="42" t="str">
        <f aca="false">CHOOSE(WEEKDAY(BL7),"日","月","火","水","木","金","土")</f>
        <v>金</v>
      </c>
      <c r="BM8" s="42" t="str">
        <f aca="false">CHOOSE(WEEKDAY(BM7),"日","月","火","水","木","金","土")</f>
        <v>土</v>
      </c>
      <c r="BN8" s="42" t="str">
        <f aca="false">CHOOSE(WEEKDAY(BN7),"日","月","火","水","木","金","土")</f>
        <v>日</v>
      </c>
      <c r="BO8" s="42" t="str">
        <f aca="false">CHOOSE(WEEKDAY(BO7),"日","月","火","水","木","金","土")</f>
        <v>月</v>
      </c>
      <c r="BP8" s="42" t="str">
        <f aca="false">CHOOSE(WEEKDAY(BP7),"日","月","火","水","木","金","土")</f>
        <v>火</v>
      </c>
      <c r="BQ8" s="42" t="str">
        <f aca="false">CHOOSE(WEEKDAY(BQ7),"日","月","火","水","木","金","土")</f>
        <v>水</v>
      </c>
      <c r="BR8" s="42" t="str">
        <f aca="false">CHOOSE(WEEKDAY(BR7),"日","月","火","水","木","金","土")</f>
        <v>木</v>
      </c>
      <c r="BS8" s="42" t="str">
        <f aca="false">CHOOSE(WEEKDAY(BS7),"日","月","火","水","木","金","土")</f>
        <v>金</v>
      </c>
      <c r="BT8" s="42" t="str">
        <f aca="false">CHOOSE(WEEKDAY(BT7),"日","月","火","水","木","金","土")</f>
        <v>土</v>
      </c>
      <c r="BU8" s="42" t="str">
        <f aca="false">CHOOSE(WEEKDAY(BU7),"日","月","火","水","木","金","土")</f>
        <v>日</v>
      </c>
      <c r="BV8" s="42" t="str">
        <f aca="false">CHOOSE(WEEKDAY(BV7),"日","月","火","水","木","金","土")</f>
        <v>月</v>
      </c>
      <c r="BW8" s="42" t="str">
        <f aca="false">CHOOSE(WEEKDAY(BW7),"日","月","火","水","木","金","土")</f>
        <v>火</v>
      </c>
      <c r="BX8" s="42" t="str">
        <f aca="false">CHOOSE(WEEKDAY(BX7),"日","月","火","水","木","金","土")</f>
        <v>水</v>
      </c>
      <c r="BY8" s="42" t="str">
        <f aca="false">CHOOSE(WEEKDAY(BY7),"日","月","火","水","木","金","土")</f>
        <v>木</v>
      </c>
      <c r="BZ8" s="42" t="str">
        <f aca="false">CHOOSE(WEEKDAY(BZ7),"日","月","火","水","木","金","土")</f>
        <v>金</v>
      </c>
      <c r="CA8" s="42" t="str">
        <f aca="false">CHOOSE(WEEKDAY(CA7),"日","月","火","水","木","金","土")</f>
        <v>土</v>
      </c>
      <c r="CB8" s="42" t="str">
        <f aca="false">CHOOSE(WEEKDAY(CB7),"日","月","火","水","木","金","土")</f>
        <v>日</v>
      </c>
      <c r="CC8" s="42" t="str">
        <f aca="false">CHOOSE(WEEKDAY(CC7),"日","月","火","水","木","金","土")</f>
        <v>月</v>
      </c>
      <c r="CD8" s="42" t="str">
        <f aca="false">CHOOSE(WEEKDAY(CD7),"日","月","火","水","木","金","土")</f>
        <v>火</v>
      </c>
      <c r="CE8" s="42" t="str">
        <f aca="false">CHOOSE(WEEKDAY(CE7),"日","月","火","水","木","金","土")</f>
        <v>水</v>
      </c>
      <c r="CF8" s="42" t="str">
        <f aca="false">CHOOSE(WEEKDAY(CF7),"日","月","火","水","木","金","土")</f>
        <v>木</v>
      </c>
      <c r="CG8" s="42" t="str">
        <f aca="false">CHOOSE(WEEKDAY(CG7),"日","月","火","水","木","金","土")</f>
        <v>金</v>
      </c>
      <c r="CH8" s="42" t="str">
        <f aca="false">CHOOSE(WEEKDAY(CH7),"日","月","火","水","木","金","土")</f>
        <v>土</v>
      </c>
      <c r="CI8" s="42" t="str">
        <f aca="false">CHOOSE(WEEKDAY(CI7),"日","月","火","水","木","金","土")</f>
        <v>日</v>
      </c>
      <c r="CJ8" s="42" t="str">
        <f aca="false">CHOOSE(WEEKDAY(CJ7),"日","月","火","水","木","金","土")</f>
        <v>月</v>
      </c>
      <c r="CK8" s="42" t="str">
        <f aca="false">CHOOSE(WEEKDAY(CK7),"日","月","火","水","木","金","土")</f>
        <v>火</v>
      </c>
      <c r="CL8" s="42" t="str">
        <f aca="false">CHOOSE(WEEKDAY(CL7),"日","月","火","水","木","金","土")</f>
        <v>水</v>
      </c>
      <c r="CM8" s="42" t="str">
        <f aca="false">CHOOSE(WEEKDAY(CM7),"日","月","火","水","木","金","土")</f>
        <v>木</v>
      </c>
      <c r="CN8" s="42" t="str">
        <f aca="false">CHOOSE(WEEKDAY(CN7),"日","月","火","水","木","金","土")</f>
        <v>金</v>
      </c>
      <c r="CO8" s="42" t="str">
        <f aca="false">CHOOSE(WEEKDAY(CO7),"日","月","火","水","木","金","土")</f>
        <v>土</v>
      </c>
      <c r="CP8" s="42" t="str">
        <f aca="false">CHOOSE(WEEKDAY(CP7),"日","月","火","水","木","金","土")</f>
        <v>日</v>
      </c>
      <c r="CQ8" s="42" t="str">
        <f aca="false">CHOOSE(WEEKDAY(CQ7),"日","月","火","水","木","金","土")</f>
        <v>月</v>
      </c>
      <c r="CR8" s="42" t="str">
        <f aca="false">CHOOSE(WEEKDAY(CR7),"日","月","火","水","木","金","土")</f>
        <v>火</v>
      </c>
      <c r="CS8" s="42" t="str">
        <f aca="false">CHOOSE(WEEKDAY(CS7),"日","月","火","水","木","金","土")</f>
        <v>水</v>
      </c>
      <c r="CT8" s="42" t="str">
        <f aca="false">CHOOSE(WEEKDAY(CT7),"日","月","火","水","木","金","土")</f>
        <v>木</v>
      </c>
      <c r="CU8" s="42" t="str">
        <f aca="false">CHOOSE(WEEKDAY(CU7),"日","月","火","水","木","金","土")</f>
        <v>金</v>
      </c>
      <c r="CV8" s="42" t="str">
        <f aca="false">CHOOSE(WEEKDAY(CV7),"日","月","火","水","木","金","土")</f>
        <v>土</v>
      </c>
      <c r="CW8" s="42" t="str">
        <f aca="false">CHOOSE(WEEKDAY(CW7),"日","月","火","水","木","金","土")</f>
        <v>日</v>
      </c>
      <c r="CX8" s="42" t="str">
        <f aca="false">CHOOSE(WEEKDAY(CX7),"日","月","火","水","木","金","土")</f>
        <v>月</v>
      </c>
      <c r="CY8" s="42" t="str">
        <f aca="false">CHOOSE(WEEKDAY(CY7),"日","月","火","水","木","金","土")</f>
        <v>火</v>
      </c>
      <c r="CZ8" s="42" t="str">
        <f aca="false">CHOOSE(WEEKDAY(CZ7),"日","月","火","水","木","金","土")</f>
        <v>水</v>
      </c>
      <c r="DA8" s="42" t="str">
        <f aca="false">CHOOSE(WEEKDAY(DA7),"日","月","火","水","木","金","土")</f>
        <v>木</v>
      </c>
      <c r="DB8" s="42" t="str">
        <f aca="false">CHOOSE(WEEKDAY(DB7),"日","月","火","水","木","金","土")</f>
        <v>金</v>
      </c>
      <c r="DC8" s="42" t="str">
        <f aca="false">CHOOSE(WEEKDAY(DC7),"日","月","火","水","木","金","土")</f>
        <v>土</v>
      </c>
      <c r="DD8" s="42" t="str">
        <f aca="false">CHOOSE(WEEKDAY(DD7),"日","月","火","水","木","金","土")</f>
        <v>日</v>
      </c>
      <c r="DE8" s="42" t="str">
        <f aca="false">CHOOSE(WEEKDAY(DE7),"日","月","火","水","木","金","土")</f>
        <v>月</v>
      </c>
      <c r="DF8" s="42" t="str">
        <f aca="false">CHOOSE(WEEKDAY(DF7),"日","月","火","水","木","金","土")</f>
        <v>火</v>
      </c>
      <c r="DG8" s="42" t="str">
        <f aca="false">CHOOSE(WEEKDAY(DG7),"日","月","火","水","木","金","土")</f>
        <v>水</v>
      </c>
      <c r="DH8" s="42" t="str">
        <f aca="false">CHOOSE(WEEKDAY(DH7),"日","月","火","水","木","金","土")</f>
        <v>木</v>
      </c>
      <c r="DI8" s="42" t="str">
        <f aca="false">CHOOSE(WEEKDAY(DI7),"日","月","火","水","木","金","土")</f>
        <v>金</v>
      </c>
      <c r="DJ8" s="42" t="str">
        <f aca="false">CHOOSE(WEEKDAY(DJ7),"日","月","火","水","木","金","土")</f>
        <v>土</v>
      </c>
      <c r="DK8" s="42" t="str">
        <f aca="false">CHOOSE(WEEKDAY(DK7),"日","月","火","水","木","金","土")</f>
        <v>日</v>
      </c>
      <c r="DL8" s="42" t="str">
        <f aca="false">CHOOSE(WEEKDAY(DL7),"日","月","火","水","木","金","土")</f>
        <v>月</v>
      </c>
      <c r="DM8" s="42" t="str">
        <f aca="false">CHOOSE(WEEKDAY(DM7),"日","月","火","水","木","金","土")</f>
        <v>火</v>
      </c>
      <c r="DN8" s="42" t="str">
        <f aca="false">CHOOSE(WEEKDAY(DN7),"日","月","火","水","木","金","土")</f>
        <v>水</v>
      </c>
      <c r="DO8" s="42" t="str">
        <f aca="false">CHOOSE(WEEKDAY(DO7),"日","月","火","水","木","金","土")</f>
        <v>木</v>
      </c>
      <c r="DP8" s="42" t="str">
        <f aca="false">CHOOSE(WEEKDAY(DP7),"日","月","火","水","木","金","土")</f>
        <v>金</v>
      </c>
      <c r="DQ8" s="42" t="str">
        <f aca="false">CHOOSE(WEEKDAY(DQ7),"日","月","火","水","木","金","土")</f>
        <v>土</v>
      </c>
      <c r="DR8" s="42" t="str">
        <f aca="false">CHOOSE(WEEKDAY(DR7),"日","月","火","水","木","金","土")</f>
        <v>日</v>
      </c>
      <c r="DS8" s="42" t="str">
        <f aca="false">CHOOSE(WEEKDAY(DS7),"日","月","火","水","木","金","土")</f>
        <v>月</v>
      </c>
      <c r="DT8" s="42" t="str">
        <f aca="false">CHOOSE(WEEKDAY(DT7),"日","月","火","水","木","金","土")</f>
        <v>火</v>
      </c>
      <c r="DU8" s="42" t="str">
        <f aca="false">CHOOSE(WEEKDAY(DU7),"日","月","火","水","木","金","土")</f>
        <v>水</v>
      </c>
      <c r="DV8" s="42" t="str">
        <f aca="false">CHOOSE(WEEKDAY(DV7),"日","月","火","水","木","金","土")</f>
        <v>木</v>
      </c>
      <c r="DW8" s="42" t="str">
        <f aca="false">CHOOSE(WEEKDAY(DW7),"日","月","火","水","木","金","土")</f>
        <v>金</v>
      </c>
      <c r="DX8" s="42" t="str">
        <f aca="false">CHOOSE(WEEKDAY(DX7),"日","月","火","水","木","金","土")</f>
        <v>土</v>
      </c>
      <c r="DY8" s="42" t="str">
        <f aca="false">CHOOSE(WEEKDAY(DY7),"日","月","火","水","木","金","土")</f>
        <v>日</v>
      </c>
      <c r="DZ8" s="42" t="str">
        <f aca="false">CHOOSE(WEEKDAY(DZ7),"日","月","火","水","木","金","土")</f>
        <v>月</v>
      </c>
      <c r="EA8" s="42" t="str">
        <f aca="false">CHOOSE(WEEKDAY(EA7),"日","月","火","水","木","金","土")</f>
        <v>火</v>
      </c>
      <c r="EB8" s="42" t="str">
        <f aca="false">CHOOSE(WEEKDAY(EB7),"日","月","火","水","木","金","土")</f>
        <v>水</v>
      </c>
      <c r="EC8" s="42" t="str">
        <f aca="false">CHOOSE(WEEKDAY(EC7),"日","月","火","水","木","金","土")</f>
        <v>木</v>
      </c>
      <c r="ED8" s="42" t="str">
        <f aca="false">CHOOSE(WEEKDAY(ED7),"日","月","火","水","木","金","土")</f>
        <v>金</v>
      </c>
      <c r="EE8" s="42" t="str">
        <f aca="false">CHOOSE(WEEKDAY(EE7),"日","月","火","水","木","金","土")</f>
        <v>土</v>
      </c>
      <c r="EF8" s="42" t="str">
        <f aca="false">CHOOSE(WEEKDAY(EF7),"日","月","火","水","木","金","土")</f>
        <v>日</v>
      </c>
      <c r="EG8" s="42" t="str">
        <f aca="false">CHOOSE(WEEKDAY(EG7),"日","月","火","水","木","金","土")</f>
        <v>月</v>
      </c>
      <c r="EH8" s="42" t="str">
        <f aca="false">CHOOSE(WEEKDAY(EH7),"日","月","火","水","木","金","土")</f>
        <v>火</v>
      </c>
      <c r="EI8" s="42" t="str">
        <f aca="false">CHOOSE(WEEKDAY(EI7),"日","月","火","水","木","金","土")</f>
        <v>水</v>
      </c>
      <c r="EJ8" s="42" t="str">
        <f aca="false">CHOOSE(WEEKDAY(EJ7),"日","月","火","水","木","金","土")</f>
        <v>木</v>
      </c>
      <c r="EK8" s="42" t="str">
        <f aca="false">CHOOSE(WEEKDAY(EK7),"日","月","火","水","木","金","土")</f>
        <v>金</v>
      </c>
      <c r="EL8" s="42" t="str">
        <f aca="false">CHOOSE(WEEKDAY(EL7),"日","月","火","水","木","金","土")</f>
        <v>土</v>
      </c>
      <c r="EM8" s="42" t="str">
        <f aca="false">CHOOSE(WEEKDAY(EM7),"日","月","火","水","木","金","土")</f>
        <v>日</v>
      </c>
      <c r="EN8" s="42" t="str">
        <f aca="false">CHOOSE(WEEKDAY(EN7),"日","月","火","水","木","金","土")</f>
        <v>月</v>
      </c>
      <c r="EO8" s="42" t="str">
        <f aca="false">CHOOSE(WEEKDAY(EO7),"日","月","火","水","木","金","土")</f>
        <v>火</v>
      </c>
      <c r="EP8" s="42" t="str">
        <f aca="false">CHOOSE(WEEKDAY(EP7),"日","月","火","水","木","金","土")</f>
        <v>水</v>
      </c>
      <c r="EQ8" s="42" t="str">
        <f aca="false">CHOOSE(WEEKDAY(EQ7),"日","月","火","水","木","金","土")</f>
        <v>木</v>
      </c>
      <c r="ER8" s="42" t="str">
        <f aca="false">CHOOSE(WEEKDAY(ER7),"日","月","火","水","木","金","土")</f>
        <v>金</v>
      </c>
      <c r="ES8" s="42" t="str">
        <f aca="false">CHOOSE(WEEKDAY(ES7),"日","月","火","水","木","金","土")</f>
        <v>土</v>
      </c>
      <c r="ET8" s="42" t="str">
        <f aca="false">CHOOSE(WEEKDAY(ET7),"日","月","火","水","木","金","土")</f>
        <v>日</v>
      </c>
      <c r="EU8" s="42" t="str">
        <f aca="false">CHOOSE(WEEKDAY(EU7),"日","月","火","水","木","金","土")</f>
        <v>月</v>
      </c>
      <c r="EV8" s="42" t="str">
        <f aca="false">CHOOSE(WEEKDAY(EV7),"日","月","火","水","木","金","土")</f>
        <v>火</v>
      </c>
      <c r="EW8" s="42" t="str">
        <f aca="false">CHOOSE(WEEKDAY(EW7),"日","月","火","水","木","金","土")</f>
        <v>水</v>
      </c>
      <c r="EX8" s="42" t="str">
        <f aca="false">CHOOSE(WEEKDAY(EX7),"日","月","火","水","木","金","土")</f>
        <v>木</v>
      </c>
      <c r="EY8" s="42" t="str">
        <f aca="false">CHOOSE(WEEKDAY(EY7),"日","月","火","水","木","金","土")</f>
        <v>金</v>
      </c>
      <c r="EZ8" s="42" t="str">
        <f aca="false">CHOOSE(WEEKDAY(EZ7),"日","月","火","水","木","金","土")</f>
        <v>土</v>
      </c>
      <c r="FA8" s="42" t="str">
        <f aca="false">CHOOSE(WEEKDAY(FA7),"日","月","火","水","木","金","土")</f>
        <v>日</v>
      </c>
      <c r="FB8" s="42" t="str">
        <f aca="false">CHOOSE(WEEKDAY(FB7),"日","月","火","水","木","金","土")</f>
        <v>月</v>
      </c>
      <c r="FC8" s="42" t="str">
        <f aca="false">CHOOSE(WEEKDAY(FC7),"日","月","火","水","木","金","土")</f>
        <v>火</v>
      </c>
      <c r="FD8" s="42" t="str">
        <f aca="false">CHOOSE(WEEKDAY(FD7),"日","月","火","水","木","金","土")</f>
        <v>水</v>
      </c>
      <c r="FE8" s="42" t="str">
        <f aca="false">CHOOSE(WEEKDAY(FE7),"日","月","火","水","木","金","土")</f>
        <v>木</v>
      </c>
      <c r="FF8" s="42" t="str">
        <f aca="false">CHOOSE(WEEKDAY(FF7),"日","月","火","水","木","金","土")</f>
        <v>金</v>
      </c>
      <c r="FG8" s="42" t="str">
        <f aca="false">CHOOSE(WEEKDAY(FG7),"日","月","火","水","木","金","土")</f>
        <v>土</v>
      </c>
      <c r="FH8" s="42" t="str">
        <f aca="false">CHOOSE(WEEKDAY(FH7),"日","月","火","水","木","金","土")</f>
        <v>日</v>
      </c>
      <c r="FI8" s="42" t="str">
        <f aca="false">CHOOSE(WEEKDAY(FI7),"日","月","火","水","木","金","土")</f>
        <v>月</v>
      </c>
      <c r="FJ8" s="42" t="str">
        <f aca="false">CHOOSE(WEEKDAY(FJ7),"日","月","火","水","木","金","土")</f>
        <v>火</v>
      </c>
      <c r="FK8" s="42" t="str">
        <f aca="false">CHOOSE(WEEKDAY(FK7),"日","月","火","水","木","金","土")</f>
        <v>水</v>
      </c>
      <c r="FL8" s="42" t="str">
        <f aca="false">CHOOSE(WEEKDAY(FL7),"日","月","火","水","木","金","土")</f>
        <v>木</v>
      </c>
      <c r="FM8" s="42" t="str">
        <f aca="false">CHOOSE(WEEKDAY(FM7),"日","月","火","水","木","金","土")</f>
        <v>金</v>
      </c>
      <c r="FN8" s="42" t="str">
        <f aca="false">CHOOSE(WEEKDAY(FN7),"日","月","火","水","木","金","土")</f>
        <v>土</v>
      </c>
      <c r="FO8" s="42" t="str">
        <f aca="false">CHOOSE(WEEKDAY(FO7),"日","月","火","水","木","金","土")</f>
        <v>日</v>
      </c>
      <c r="FP8" s="42" t="str">
        <f aca="false">CHOOSE(WEEKDAY(FP7),"日","月","火","水","木","金","土")</f>
        <v>月</v>
      </c>
      <c r="FQ8" s="42" t="str">
        <f aca="false">CHOOSE(WEEKDAY(FQ7),"日","月","火","水","木","金","土")</f>
        <v>火</v>
      </c>
      <c r="FR8" s="42" t="str">
        <f aca="false">CHOOSE(WEEKDAY(FR7),"日","月","火","水","木","金","土")</f>
        <v>水</v>
      </c>
      <c r="FS8" s="42" t="str">
        <f aca="false">CHOOSE(WEEKDAY(FS7),"日","月","火","水","木","金","土")</f>
        <v>木</v>
      </c>
      <c r="FT8" s="42" t="str">
        <f aca="false">CHOOSE(WEEKDAY(FT7),"日","月","火","水","木","金","土")</f>
        <v>金</v>
      </c>
      <c r="FU8" s="42" t="str">
        <f aca="false">CHOOSE(WEEKDAY(FU7),"日","月","火","水","木","金","土")</f>
        <v>土</v>
      </c>
      <c r="FV8" s="42" t="str">
        <f aca="false">CHOOSE(WEEKDAY(FV7),"日","月","火","水","木","金","土")</f>
        <v>日</v>
      </c>
    </row>
    <row r="9" customFormat="false" ht="19.5" hidden="false" customHeight="true" outlineLevel="0" collapsed="false">
      <c r="A9" s="43" t="str">
        <f aca="false">"マイルストーン　撮影 "&amp;TEXT(制作工程表!$E$4,"m/d")&amp;"・"&amp;TEXT(制作工程表!$H$4,"m/d")&amp;"・"&amp;TEXT(制作工程表!$K$4,"m/d")&amp;"　／　公開 "&amp;TEXT(制作工程表!$H$34,"m/d")</f>
        <v>マイルストーン　撮影 1/6・1/7・1/13　／　公開 4/6</v>
      </c>
      <c r="B9" s="43"/>
      <c r="C9" s="43"/>
      <c r="D9" s="43"/>
      <c r="E9" s="43"/>
      <c r="F9" s="43"/>
      <c r="G9" s="43"/>
      <c r="H9" s="43"/>
      <c r="I9" s="43"/>
      <c r="J9" s="43"/>
      <c r="K9" s="44" t="str">
        <f aca="false">IF(OR(K$7=制作工程表!$E$4,K$7=制作工程表!$H$4,K$7=制作工程表!$K$4),"撮",IF(K$7=制作工程表!$H$34,"公",""))</f>
        <v/>
      </c>
      <c r="L9" s="44" t="str">
        <f aca="false">IF(OR(L$7=制作工程表!$E$4,L$7=制作工程表!$H$4,L$7=制作工程表!$K$4),"撮",IF(L$7=制作工程表!$H$34,"公",""))</f>
        <v/>
      </c>
      <c r="M9" s="44" t="str">
        <f aca="false">IF(OR(M$7=制作工程表!$E$4,M$7=制作工程表!$H$4,M$7=制作工程表!$K$4),"撮",IF(M$7=制作工程表!$H$34,"公",""))</f>
        <v/>
      </c>
      <c r="N9" s="44" t="str">
        <f aca="false">IF(OR(N$7=制作工程表!$E$4,N$7=制作工程表!$H$4,N$7=制作工程表!$K$4),"撮",IF(N$7=制作工程表!$H$34,"公",""))</f>
        <v/>
      </c>
      <c r="O9" s="44" t="str">
        <f aca="false">IF(OR(O$7=制作工程表!$E$4,O$7=制作工程表!$H$4,O$7=制作工程表!$K$4),"撮",IF(O$7=制作工程表!$H$34,"公",""))</f>
        <v/>
      </c>
      <c r="P9" s="44" t="str">
        <f aca="false">IF(OR(P$7=制作工程表!$E$4,P$7=制作工程表!$H$4,P$7=制作工程表!$K$4),"撮",IF(P$7=制作工程表!$H$34,"公",""))</f>
        <v/>
      </c>
      <c r="Q9" s="44" t="str">
        <f aca="false">IF(OR(Q$7=制作工程表!$E$4,Q$7=制作工程表!$H$4,Q$7=制作工程表!$K$4),"撮",IF(Q$7=制作工程表!$H$34,"公",""))</f>
        <v/>
      </c>
      <c r="R9" s="44" t="str">
        <f aca="false">IF(OR(R$7=制作工程表!$E$4,R$7=制作工程表!$H$4,R$7=制作工程表!$K$4),"撮",IF(R$7=制作工程表!$H$34,"公",""))</f>
        <v/>
      </c>
      <c r="S9" s="44" t="str">
        <f aca="false">IF(OR(S$7=制作工程表!$E$4,S$7=制作工程表!$H$4,S$7=制作工程表!$K$4),"撮",IF(S$7=制作工程表!$H$34,"公",""))</f>
        <v/>
      </c>
      <c r="T9" s="44" t="str">
        <f aca="false">IF(OR(T$7=制作工程表!$E$4,T$7=制作工程表!$H$4,T$7=制作工程表!$K$4),"撮",IF(T$7=制作工程表!$H$34,"公",""))</f>
        <v/>
      </c>
      <c r="U9" s="44" t="str">
        <f aca="false">IF(OR(U$7=制作工程表!$E$4,U$7=制作工程表!$H$4,U$7=制作工程表!$K$4),"撮",IF(U$7=制作工程表!$H$34,"公",""))</f>
        <v/>
      </c>
      <c r="V9" s="44" t="str">
        <f aca="false">IF(OR(V$7=制作工程表!$E$4,V$7=制作工程表!$H$4,V$7=制作工程表!$K$4),"撮",IF(V$7=制作工程表!$H$34,"公",""))</f>
        <v/>
      </c>
      <c r="W9" s="44" t="str">
        <f aca="false">IF(OR(W$7=制作工程表!$E$4,W$7=制作工程表!$H$4,W$7=制作工程表!$K$4),"撮",IF(W$7=制作工程表!$H$34,"公",""))</f>
        <v/>
      </c>
      <c r="X9" s="44" t="str">
        <f aca="false">IF(OR(X$7=制作工程表!$E$4,X$7=制作工程表!$H$4,X$7=制作工程表!$K$4),"撮",IF(X$7=制作工程表!$H$34,"公",""))</f>
        <v/>
      </c>
      <c r="Y9" s="44" t="str">
        <f aca="false">IF(OR(Y$7=制作工程表!$E$4,Y$7=制作工程表!$H$4,Y$7=制作工程表!$K$4),"撮",IF(Y$7=制作工程表!$H$34,"公",""))</f>
        <v/>
      </c>
      <c r="Z9" s="44" t="str">
        <f aca="false">IF(OR(Z$7=制作工程表!$E$4,Z$7=制作工程表!$H$4,Z$7=制作工程表!$K$4),"撮",IF(Z$7=制作工程表!$H$34,"公",""))</f>
        <v/>
      </c>
      <c r="AA9" s="44" t="str">
        <f aca="false">IF(OR(AA$7=制作工程表!$E$4,AA$7=制作工程表!$H$4,AA$7=制作工程表!$K$4),"撮",IF(AA$7=制作工程表!$H$34,"公",""))</f>
        <v/>
      </c>
      <c r="AB9" s="44" t="str">
        <f aca="false">IF(OR(AB$7=制作工程表!$E$4,AB$7=制作工程表!$H$4,AB$7=制作工程表!$K$4),"撮",IF(AB$7=制作工程表!$H$34,"公",""))</f>
        <v/>
      </c>
      <c r="AC9" s="44" t="str">
        <f aca="false">IF(OR(AC$7=制作工程表!$E$4,AC$7=制作工程表!$H$4,AC$7=制作工程表!$K$4),"撮",IF(AC$7=制作工程表!$H$34,"公",""))</f>
        <v/>
      </c>
      <c r="AD9" s="44" t="str">
        <f aca="false">IF(OR(AD$7=制作工程表!$E$4,AD$7=制作工程表!$H$4,AD$7=制作工程表!$K$4),"撮",IF(AD$7=制作工程表!$H$34,"公",""))</f>
        <v/>
      </c>
      <c r="AE9" s="44" t="str">
        <f aca="false">IF(OR(AE$7=制作工程表!$E$4,AE$7=制作工程表!$H$4,AE$7=制作工程表!$K$4),"撮",IF(AE$7=制作工程表!$H$34,"公",""))</f>
        <v/>
      </c>
      <c r="AF9" s="44" t="str">
        <f aca="false">IF(OR(AF$7=制作工程表!$E$4,AF$7=制作工程表!$H$4,AF$7=制作工程表!$K$4),"撮",IF(AF$7=制作工程表!$H$34,"公",""))</f>
        <v/>
      </c>
      <c r="AG9" s="44" t="str">
        <f aca="false">IF(OR(AG$7=制作工程表!$E$4,AG$7=制作工程表!$H$4,AG$7=制作工程表!$K$4),"撮",IF(AG$7=制作工程表!$H$34,"公",""))</f>
        <v/>
      </c>
      <c r="AH9" s="44" t="str">
        <f aca="false">IF(OR(AH$7=制作工程表!$E$4,AH$7=制作工程表!$H$4,AH$7=制作工程表!$K$4),"撮",IF(AH$7=制作工程表!$H$34,"公",""))</f>
        <v/>
      </c>
      <c r="AI9" s="44" t="str">
        <f aca="false">IF(OR(AI$7=制作工程表!$E$4,AI$7=制作工程表!$H$4,AI$7=制作工程表!$K$4),"撮",IF(AI$7=制作工程表!$H$34,"公",""))</f>
        <v/>
      </c>
      <c r="AJ9" s="44" t="str">
        <f aca="false">IF(OR(AJ$7=制作工程表!$E$4,AJ$7=制作工程表!$H$4,AJ$7=制作工程表!$K$4),"撮",IF(AJ$7=制作工程表!$H$34,"公",""))</f>
        <v/>
      </c>
      <c r="AK9" s="44" t="str">
        <f aca="false">IF(OR(AK$7=制作工程表!$E$4,AK$7=制作工程表!$H$4,AK$7=制作工程表!$K$4),"撮",IF(AK$7=制作工程表!$H$34,"公",""))</f>
        <v/>
      </c>
      <c r="AL9" s="44" t="str">
        <f aca="false">IF(OR(AL$7=制作工程表!$E$4,AL$7=制作工程表!$H$4,AL$7=制作工程表!$K$4),"撮",IF(AL$7=制作工程表!$H$34,"公",""))</f>
        <v/>
      </c>
      <c r="AM9" s="44" t="str">
        <f aca="false">IF(OR(AM$7=制作工程表!$E$4,AM$7=制作工程表!$H$4,AM$7=制作工程表!$K$4),"撮",IF(AM$7=制作工程表!$H$34,"公",""))</f>
        <v/>
      </c>
      <c r="AN9" s="44" t="str">
        <f aca="false">IF(OR(AN$7=制作工程表!$E$4,AN$7=制作工程表!$H$4,AN$7=制作工程表!$K$4),"撮",IF(AN$7=制作工程表!$H$34,"公",""))</f>
        <v/>
      </c>
      <c r="AO9" s="44" t="str">
        <f aca="false">IF(OR(AO$7=制作工程表!$E$4,AO$7=制作工程表!$H$4,AO$7=制作工程表!$K$4),"撮",IF(AO$7=制作工程表!$H$34,"公",""))</f>
        <v/>
      </c>
      <c r="AP9" s="44" t="str">
        <f aca="false">IF(OR(AP$7=制作工程表!$E$4,AP$7=制作工程表!$H$4,AP$7=制作工程表!$K$4),"撮",IF(AP$7=制作工程表!$H$34,"公",""))</f>
        <v/>
      </c>
      <c r="AQ9" s="44" t="str">
        <f aca="false">IF(OR(AQ$7=制作工程表!$E$4,AQ$7=制作工程表!$H$4,AQ$7=制作工程表!$K$4),"撮",IF(AQ$7=制作工程表!$H$34,"公",""))</f>
        <v/>
      </c>
      <c r="AR9" s="44" t="str">
        <f aca="false">IF(OR(AR$7=制作工程表!$E$4,AR$7=制作工程表!$H$4,AR$7=制作工程表!$K$4),"撮",IF(AR$7=制作工程表!$H$34,"公",""))</f>
        <v/>
      </c>
      <c r="AS9" s="44" t="str">
        <f aca="false">IF(OR(AS$7=制作工程表!$E$4,AS$7=制作工程表!$H$4,AS$7=制作工程表!$K$4),"撮",IF(AS$7=制作工程表!$H$34,"公",""))</f>
        <v/>
      </c>
      <c r="AT9" s="44" t="str">
        <f aca="false">IF(OR(AT$7=制作工程表!$E$4,AT$7=制作工程表!$H$4,AT$7=制作工程表!$K$4),"撮",IF(AT$7=制作工程表!$H$34,"公",""))</f>
        <v/>
      </c>
      <c r="AU9" s="44" t="str">
        <f aca="false">IF(OR(AU$7=制作工程表!$E$4,AU$7=制作工程表!$H$4,AU$7=制作工程表!$K$4),"撮",IF(AU$7=制作工程表!$H$34,"公",""))</f>
        <v/>
      </c>
      <c r="AV9" s="44" t="str">
        <f aca="false">IF(OR(AV$7=制作工程表!$E$4,AV$7=制作工程表!$H$4,AV$7=制作工程表!$K$4),"撮",IF(AV$7=制作工程表!$H$34,"公",""))</f>
        <v/>
      </c>
      <c r="AW9" s="44" t="str">
        <f aca="false">IF(OR(AW$7=制作工程表!$E$4,AW$7=制作工程表!$H$4,AW$7=制作工程表!$K$4),"撮",IF(AW$7=制作工程表!$H$34,"公",""))</f>
        <v/>
      </c>
      <c r="AX9" s="44" t="str">
        <f aca="false">IF(OR(AX$7=制作工程表!$E$4,AX$7=制作工程表!$H$4,AX$7=制作工程表!$K$4),"撮",IF(AX$7=制作工程表!$H$34,"公",""))</f>
        <v/>
      </c>
      <c r="AY9" s="44" t="str">
        <f aca="false">IF(OR(AY$7=制作工程表!$E$4,AY$7=制作工程表!$H$4,AY$7=制作工程表!$K$4),"撮",IF(AY$7=制作工程表!$H$34,"公",""))</f>
        <v/>
      </c>
      <c r="AZ9" s="44" t="str">
        <f aca="false">IF(OR(AZ$7=制作工程表!$E$4,AZ$7=制作工程表!$H$4,AZ$7=制作工程表!$K$4),"撮",IF(AZ$7=制作工程表!$H$34,"公",""))</f>
        <v/>
      </c>
      <c r="BA9" s="44" t="str">
        <f aca="false">IF(OR(BA$7=制作工程表!$E$4,BA$7=制作工程表!$H$4,BA$7=制作工程表!$K$4),"撮",IF(BA$7=制作工程表!$H$34,"公",""))</f>
        <v/>
      </c>
      <c r="BB9" s="44" t="str">
        <f aca="false">IF(OR(BB$7=制作工程表!$E$4,BB$7=制作工程表!$H$4,BB$7=制作工程表!$K$4),"撮",IF(BB$7=制作工程表!$H$34,"公",""))</f>
        <v/>
      </c>
      <c r="BC9" s="44" t="str">
        <f aca="false">IF(OR(BC$7=制作工程表!$E$4,BC$7=制作工程表!$H$4,BC$7=制作工程表!$K$4),"撮",IF(BC$7=制作工程表!$H$34,"公",""))</f>
        <v/>
      </c>
      <c r="BD9" s="44" t="str">
        <f aca="false">IF(OR(BD$7=制作工程表!$E$4,BD$7=制作工程表!$H$4,BD$7=制作工程表!$K$4),"撮",IF(BD$7=制作工程表!$H$34,"公",""))</f>
        <v/>
      </c>
      <c r="BE9" s="44" t="str">
        <f aca="false">IF(OR(BE$7=制作工程表!$E$4,BE$7=制作工程表!$H$4,BE$7=制作工程表!$K$4),"撮",IF(BE$7=制作工程表!$H$34,"公",""))</f>
        <v/>
      </c>
      <c r="BF9" s="44" t="str">
        <f aca="false">IF(OR(BF$7=制作工程表!$E$4,BF$7=制作工程表!$H$4,BF$7=制作工程表!$K$4),"撮",IF(BF$7=制作工程表!$H$34,"公",""))</f>
        <v/>
      </c>
      <c r="BG9" s="44" t="str">
        <f aca="false">IF(OR(BG$7=制作工程表!$E$4,BG$7=制作工程表!$H$4,BG$7=制作工程表!$K$4),"撮",IF(BG$7=制作工程表!$H$34,"公",""))</f>
        <v/>
      </c>
      <c r="BH9" s="44" t="str">
        <f aca="false">IF(OR(BH$7=制作工程表!$E$4,BH$7=制作工程表!$H$4,BH$7=制作工程表!$K$4),"撮",IF(BH$7=制作工程表!$H$34,"公",""))</f>
        <v/>
      </c>
      <c r="BI9" s="44" t="str">
        <f aca="false">IF(OR(BI$7=制作工程表!$E$4,BI$7=制作工程表!$H$4,BI$7=制作工程表!$K$4),"撮",IF(BI$7=制作工程表!$H$34,"公",""))</f>
        <v/>
      </c>
      <c r="BJ9" s="44" t="str">
        <f aca="false">IF(OR(BJ$7=制作工程表!$E$4,BJ$7=制作工程表!$H$4,BJ$7=制作工程表!$K$4),"撮",IF(BJ$7=制作工程表!$H$34,"公",""))</f>
        <v/>
      </c>
      <c r="BK9" s="44" t="str">
        <f aca="false">IF(OR(BK$7=制作工程表!$E$4,BK$7=制作工程表!$H$4,BK$7=制作工程表!$K$4),"撮",IF(BK$7=制作工程表!$H$34,"公",""))</f>
        <v/>
      </c>
      <c r="BL9" s="44" t="str">
        <f aca="false">IF(OR(BL$7=制作工程表!$E$4,BL$7=制作工程表!$H$4,BL$7=制作工程表!$K$4),"撮",IF(BL$7=制作工程表!$H$34,"公",""))</f>
        <v/>
      </c>
      <c r="BM9" s="44" t="str">
        <f aca="false">IF(OR(BM$7=制作工程表!$E$4,BM$7=制作工程表!$H$4,BM$7=制作工程表!$K$4),"撮",IF(BM$7=制作工程表!$H$34,"公",""))</f>
        <v/>
      </c>
      <c r="BN9" s="44" t="str">
        <f aca="false">IF(OR(BN$7=制作工程表!$E$4,BN$7=制作工程表!$H$4,BN$7=制作工程表!$K$4),"撮",IF(BN$7=制作工程表!$H$34,"公",""))</f>
        <v/>
      </c>
      <c r="BO9" s="44" t="str">
        <f aca="false">IF(OR(BO$7=制作工程表!$E$4,BO$7=制作工程表!$H$4,BO$7=制作工程表!$K$4),"撮",IF(BO$7=制作工程表!$H$34,"公",""))</f>
        <v/>
      </c>
      <c r="BP9" s="44" t="str">
        <f aca="false">IF(OR(BP$7=制作工程表!$E$4,BP$7=制作工程表!$H$4,BP$7=制作工程表!$K$4),"撮",IF(BP$7=制作工程表!$H$34,"公",""))</f>
        <v/>
      </c>
      <c r="BQ9" s="44" t="str">
        <f aca="false">IF(OR(BQ$7=制作工程表!$E$4,BQ$7=制作工程表!$H$4,BQ$7=制作工程表!$K$4),"撮",IF(BQ$7=制作工程表!$H$34,"公",""))</f>
        <v/>
      </c>
      <c r="BR9" s="44" t="str">
        <f aca="false">IF(OR(BR$7=制作工程表!$E$4,BR$7=制作工程表!$H$4,BR$7=制作工程表!$K$4),"撮",IF(BR$7=制作工程表!$H$34,"公",""))</f>
        <v/>
      </c>
      <c r="BS9" s="44" t="str">
        <f aca="false">IF(OR(BS$7=制作工程表!$E$4,BS$7=制作工程表!$H$4,BS$7=制作工程表!$K$4),"撮",IF(BS$7=制作工程表!$H$34,"公",""))</f>
        <v/>
      </c>
      <c r="BT9" s="44" t="str">
        <f aca="false">IF(OR(BT$7=制作工程表!$E$4,BT$7=制作工程表!$H$4,BT$7=制作工程表!$K$4),"撮",IF(BT$7=制作工程表!$H$34,"公",""))</f>
        <v/>
      </c>
      <c r="BU9" s="44" t="str">
        <f aca="false">IF(OR(BU$7=制作工程表!$E$4,BU$7=制作工程表!$H$4,BU$7=制作工程表!$K$4),"撮",IF(BU$7=制作工程表!$H$34,"公",""))</f>
        <v/>
      </c>
      <c r="BV9" s="44" t="str">
        <f aca="false">IF(OR(BV$7=制作工程表!$E$4,BV$7=制作工程表!$H$4,BV$7=制作工程表!$K$4),"撮",IF(BV$7=制作工程表!$H$34,"公",""))</f>
        <v/>
      </c>
      <c r="BW9" s="44" t="str">
        <f aca="false">IF(OR(BW$7=制作工程表!$E$4,BW$7=制作工程表!$H$4,BW$7=制作工程表!$K$4),"撮",IF(BW$7=制作工程表!$H$34,"公",""))</f>
        <v/>
      </c>
      <c r="BX9" s="44" t="str">
        <f aca="false">IF(OR(BX$7=制作工程表!$E$4,BX$7=制作工程表!$H$4,BX$7=制作工程表!$K$4),"撮",IF(BX$7=制作工程表!$H$34,"公",""))</f>
        <v>撮</v>
      </c>
      <c r="BY9" s="44" t="str">
        <f aca="false">IF(OR(BY$7=制作工程表!$E$4,BY$7=制作工程表!$H$4,BY$7=制作工程表!$K$4),"撮",IF(BY$7=制作工程表!$H$34,"公",""))</f>
        <v>撮</v>
      </c>
      <c r="BZ9" s="44" t="str">
        <f aca="false">IF(OR(BZ$7=制作工程表!$E$4,BZ$7=制作工程表!$H$4,BZ$7=制作工程表!$K$4),"撮",IF(BZ$7=制作工程表!$H$34,"公",""))</f>
        <v/>
      </c>
      <c r="CA9" s="44" t="str">
        <f aca="false">IF(OR(CA$7=制作工程表!$E$4,CA$7=制作工程表!$H$4,CA$7=制作工程表!$K$4),"撮",IF(CA$7=制作工程表!$H$34,"公",""))</f>
        <v/>
      </c>
      <c r="CB9" s="44" t="str">
        <f aca="false">IF(OR(CB$7=制作工程表!$E$4,CB$7=制作工程表!$H$4,CB$7=制作工程表!$K$4),"撮",IF(CB$7=制作工程表!$H$34,"公",""))</f>
        <v/>
      </c>
      <c r="CC9" s="44" t="str">
        <f aca="false">IF(OR(CC$7=制作工程表!$E$4,CC$7=制作工程表!$H$4,CC$7=制作工程表!$K$4),"撮",IF(CC$7=制作工程表!$H$34,"公",""))</f>
        <v/>
      </c>
      <c r="CD9" s="44" t="str">
        <f aca="false">IF(OR(CD$7=制作工程表!$E$4,CD$7=制作工程表!$H$4,CD$7=制作工程表!$K$4),"撮",IF(CD$7=制作工程表!$H$34,"公",""))</f>
        <v/>
      </c>
      <c r="CE9" s="44" t="str">
        <f aca="false">IF(OR(CE$7=制作工程表!$E$4,CE$7=制作工程表!$H$4,CE$7=制作工程表!$K$4),"撮",IF(CE$7=制作工程表!$H$34,"公",""))</f>
        <v>撮</v>
      </c>
      <c r="CF9" s="44" t="str">
        <f aca="false">IF(OR(CF$7=制作工程表!$E$4,CF$7=制作工程表!$H$4,CF$7=制作工程表!$K$4),"撮",IF(CF$7=制作工程表!$H$34,"公",""))</f>
        <v/>
      </c>
      <c r="CG9" s="44" t="str">
        <f aca="false">IF(OR(CG$7=制作工程表!$E$4,CG$7=制作工程表!$H$4,CG$7=制作工程表!$K$4),"撮",IF(CG$7=制作工程表!$H$34,"公",""))</f>
        <v/>
      </c>
      <c r="CH9" s="44" t="str">
        <f aca="false">IF(OR(CH$7=制作工程表!$E$4,CH$7=制作工程表!$H$4,CH$7=制作工程表!$K$4),"撮",IF(CH$7=制作工程表!$H$34,"公",""))</f>
        <v/>
      </c>
      <c r="CI9" s="44" t="str">
        <f aca="false">IF(OR(CI$7=制作工程表!$E$4,CI$7=制作工程表!$H$4,CI$7=制作工程表!$K$4),"撮",IF(CI$7=制作工程表!$H$34,"公",""))</f>
        <v/>
      </c>
      <c r="CJ9" s="44" t="str">
        <f aca="false">IF(OR(CJ$7=制作工程表!$E$4,CJ$7=制作工程表!$H$4,CJ$7=制作工程表!$K$4),"撮",IF(CJ$7=制作工程表!$H$34,"公",""))</f>
        <v/>
      </c>
      <c r="CK9" s="44" t="str">
        <f aca="false">IF(OR(CK$7=制作工程表!$E$4,CK$7=制作工程表!$H$4,CK$7=制作工程表!$K$4),"撮",IF(CK$7=制作工程表!$H$34,"公",""))</f>
        <v/>
      </c>
      <c r="CL9" s="44" t="str">
        <f aca="false">IF(OR(CL$7=制作工程表!$E$4,CL$7=制作工程表!$H$4,CL$7=制作工程表!$K$4),"撮",IF(CL$7=制作工程表!$H$34,"公",""))</f>
        <v/>
      </c>
      <c r="CM9" s="44" t="str">
        <f aca="false">IF(OR(CM$7=制作工程表!$E$4,CM$7=制作工程表!$H$4,CM$7=制作工程表!$K$4),"撮",IF(CM$7=制作工程表!$H$34,"公",""))</f>
        <v/>
      </c>
      <c r="CN9" s="44" t="str">
        <f aca="false">IF(OR(CN$7=制作工程表!$E$4,CN$7=制作工程表!$H$4,CN$7=制作工程表!$K$4),"撮",IF(CN$7=制作工程表!$H$34,"公",""))</f>
        <v/>
      </c>
      <c r="CO9" s="44" t="str">
        <f aca="false">IF(OR(CO$7=制作工程表!$E$4,CO$7=制作工程表!$H$4,CO$7=制作工程表!$K$4),"撮",IF(CO$7=制作工程表!$H$34,"公",""))</f>
        <v/>
      </c>
      <c r="CP9" s="44" t="str">
        <f aca="false">IF(OR(CP$7=制作工程表!$E$4,CP$7=制作工程表!$H$4,CP$7=制作工程表!$K$4),"撮",IF(CP$7=制作工程表!$H$34,"公",""))</f>
        <v/>
      </c>
      <c r="CQ9" s="44" t="str">
        <f aca="false">IF(OR(CQ$7=制作工程表!$E$4,CQ$7=制作工程表!$H$4,CQ$7=制作工程表!$K$4),"撮",IF(CQ$7=制作工程表!$H$34,"公",""))</f>
        <v/>
      </c>
      <c r="CR9" s="44" t="str">
        <f aca="false">IF(OR(CR$7=制作工程表!$E$4,CR$7=制作工程表!$H$4,CR$7=制作工程表!$K$4),"撮",IF(CR$7=制作工程表!$H$34,"公",""))</f>
        <v/>
      </c>
      <c r="CS9" s="44" t="str">
        <f aca="false">IF(OR(CS$7=制作工程表!$E$4,CS$7=制作工程表!$H$4,CS$7=制作工程表!$K$4),"撮",IF(CS$7=制作工程表!$H$34,"公",""))</f>
        <v/>
      </c>
      <c r="CT9" s="44" t="str">
        <f aca="false">IF(OR(CT$7=制作工程表!$E$4,CT$7=制作工程表!$H$4,CT$7=制作工程表!$K$4),"撮",IF(CT$7=制作工程表!$H$34,"公",""))</f>
        <v/>
      </c>
      <c r="CU9" s="44" t="str">
        <f aca="false">IF(OR(CU$7=制作工程表!$E$4,CU$7=制作工程表!$H$4,CU$7=制作工程表!$K$4),"撮",IF(CU$7=制作工程表!$H$34,"公",""))</f>
        <v/>
      </c>
      <c r="CV9" s="44" t="str">
        <f aca="false">IF(OR(CV$7=制作工程表!$E$4,CV$7=制作工程表!$H$4,CV$7=制作工程表!$K$4),"撮",IF(CV$7=制作工程表!$H$34,"公",""))</f>
        <v/>
      </c>
      <c r="CW9" s="44" t="str">
        <f aca="false">IF(OR(CW$7=制作工程表!$E$4,CW$7=制作工程表!$H$4,CW$7=制作工程表!$K$4),"撮",IF(CW$7=制作工程表!$H$34,"公",""))</f>
        <v/>
      </c>
      <c r="CX9" s="44" t="str">
        <f aca="false">IF(OR(CX$7=制作工程表!$E$4,CX$7=制作工程表!$H$4,CX$7=制作工程表!$K$4),"撮",IF(CX$7=制作工程表!$H$34,"公",""))</f>
        <v/>
      </c>
      <c r="CY9" s="44" t="str">
        <f aca="false">IF(OR(CY$7=制作工程表!$E$4,CY$7=制作工程表!$H$4,CY$7=制作工程表!$K$4),"撮",IF(CY$7=制作工程表!$H$34,"公",""))</f>
        <v/>
      </c>
      <c r="CZ9" s="44" t="str">
        <f aca="false">IF(OR(CZ$7=制作工程表!$E$4,CZ$7=制作工程表!$H$4,CZ$7=制作工程表!$K$4),"撮",IF(CZ$7=制作工程表!$H$34,"公",""))</f>
        <v/>
      </c>
      <c r="DA9" s="44" t="str">
        <f aca="false">IF(OR(DA$7=制作工程表!$E$4,DA$7=制作工程表!$H$4,DA$7=制作工程表!$K$4),"撮",IF(DA$7=制作工程表!$H$34,"公",""))</f>
        <v/>
      </c>
      <c r="DB9" s="44" t="str">
        <f aca="false">IF(OR(DB$7=制作工程表!$E$4,DB$7=制作工程表!$H$4,DB$7=制作工程表!$K$4),"撮",IF(DB$7=制作工程表!$H$34,"公",""))</f>
        <v/>
      </c>
      <c r="DC9" s="44" t="str">
        <f aca="false">IF(OR(DC$7=制作工程表!$E$4,DC$7=制作工程表!$H$4,DC$7=制作工程表!$K$4),"撮",IF(DC$7=制作工程表!$H$34,"公",""))</f>
        <v/>
      </c>
      <c r="DD9" s="44" t="str">
        <f aca="false">IF(OR(DD$7=制作工程表!$E$4,DD$7=制作工程表!$H$4,DD$7=制作工程表!$K$4),"撮",IF(DD$7=制作工程表!$H$34,"公",""))</f>
        <v/>
      </c>
      <c r="DE9" s="44" t="str">
        <f aca="false">IF(OR(DE$7=制作工程表!$E$4,DE$7=制作工程表!$H$4,DE$7=制作工程表!$K$4),"撮",IF(DE$7=制作工程表!$H$34,"公",""))</f>
        <v/>
      </c>
      <c r="DF9" s="44" t="str">
        <f aca="false">IF(OR(DF$7=制作工程表!$E$4,DF$7=制作工程表!$H$4,DF$7=制作工程表!$K$4),"撮",IF(DF$7=制作工程表!$H$34,"公",""))</f>
        <v/>
      </c>
      <c r="DG9" s="44" t="str">
        <f aca="false">IF(OR(DG$7=制作工程表!$E$4,DG$7=制作工程表!$H$4,DG$7=制作工程表!$K$4),"撮",IF(DG$7=制作工程表!$H$34,"公",""))</f>
        <v/>
      </c>
      <c r="DH9" s="44" t="str">
        <f aca="false">IF(OR(DH$7=制作工程表!$E$4,DH$7=制作工程表!$H$4,DH$7=制作工程表!$K$4),"撮",IF(DH$7=制作工程表!$H$34,"公",""))</f>
        <v/>
      </c>
      <c r="DI9" s="44" t="str">
        <f aca="false">IF(OR(DI$7=制作工程表!$E$4,DI$7=制作工程表!$H$4,DI$7=制作工程表!$K$4),"撮",IF(DI$7=制作工程表!$H$34,"公",""))</f>
        <v/>
      </c>
      <c r="DJ9" s="44" t="str">
        <f aca="false">IF(OR(DJ$7=制作工程表!$E$4,DJ$7=制作工程表!$H$4,DJ$7=制作工程表!$K$4),"撮",IF(DJ$7=制作工程表!$H$34,"公",""))</f>
        <v/>
      </c>
      <c r="DK9" s="44" t="str">
        <f aca="false">IF(OR(DK$7=制作工程表!$E$4,DK$7=制作工程表!$H$4,DK$7=制作工程表!$K$4),"撮",IF(DK$7=制作工程表!$H$34,"公",""))</f>
        <v/>
      </c>
      <c r="DL9" s="44" t="str">
        <f aca="false">IF(OR(DL$7=制作工程表!$E$4,DL$7=制作工程表!$H$4,DL$7=制作工程表!$K$4),"撮",IF(DL$7=制作工程表!$H$34,"公",""))</f>
        <v/>
      </c>
      <c r="DM9" s="44" t="str">
        <f aca="false">IF(OR(DM$7=制作工程表!$E$4,DM$7=制作工程表!$H$4,DM$7=制作工程表!$K$4),"撮",IF(DM$7=制作工程表!$H$34,"公",""))</f>
        <v/>
      </c>
      <c r="DN9" s="44" t="str">
        <f aca="false">IF(OR(DN$7=制作工程表!$E$4,DN$7=制作工程表!$H$4,DN$7=制作工程表!$K$4),"撮",IF(DN$7=制作工程表!$H$34,"公",""))</f>
        <v/>
      </c>
      <c r="DO9" s="44" t="str">
        <f aca="false">IF(OR(DO$7=制作工程表!$E$4,DO$7=制作工程表!$H$4,DO$7=制作工程表!$K$4),"撮",IF(DO$7=制作工程表!$H$34,"公",""))</f>
        <v/>
      </c>
      <c r="DP9" s="44" t="str">
        <f aca="false">IF(OR(DP$7=制作工程表!$E$4,DP$7=制作工程表!$H$4,DP$7=制作工程表!$K$4),"撮",IF(DP$7=制作工程表!$H$34,"公",""))</f>
        <v/>
      </c>
      <c r="DQ9" s="44" t="str">
        <f aca="false">IF(OR(DQ$7=制作工程表!$E$4,DQ$7=制作工程表!$H$4,DQ$7=制作工程表!$K$4),"撮",IF(DQ$7=制作工程表!$H$34,"公",""))</f>
        <v/>
      </c>
      <c r="DR9" s="44" t="str">
        <f aca="false">IF(OR(DR$7=制作工程表!$E$4,DR$7=制作工程表!$H$4,DR$7=制作工程表!$K$4),"撮",IF(DR$7=制作工程表!$H$34,"公",""))</f>
        <v/>
      </c>
      <c r="DS9" s="44" t="str">
        <f aca="false">IF(OR(DS$7=制作工程表!$E$4,DS$7=制作工程表!$H$4,DS$7=制作工程表!$K$4),"撮",IF(DS$7=制作工程表!$H$34,"公",""))</f>
        <v/>
      </c>
      <c r="DT9" s="44" t="str">
        <f aca="false">IF(OR(DT$7=制作工程表!$E$4,DT$7=制作工程表!$H$4,DT$7=制作工程表!$K$4),"撮",IF(DT$7=制作工程表!$H$34,"公",""))</f>
        <v/>
      </c>
      <c r="DU9" s="44" t="str">
        <f aca="false">IF(OR(DU$7=制作工程表!$E$4,DU$7=制作工程表!$H$4,DU$7=制作工程表!$K$4),"撮",IF(DU$7=制作工程表!$H$34,"公",""))</f>
        <v/>
      </c>
      <c r="DV9" s="44" t="str">
        <f aca="false">IF(OR(DV$7=制作工程表!$E$4,DV$7=制作工程表!$H$4,DV$7=制作工程表!$K$4),"撮",IF(DV$7=制作工程表!$H$34,"公",""))</f>
        <v/>
      </c>
      <c r="DW9" s="44" t="str">
        <f aca="false">IF(OR(DW$7=制作工程表!$E$4,DW$7=制作工程表!$H$4,DW$7=制作工程表!$K$4),"撮",IF(DW$7=制作工程表!$H$34,"公",""))</f>
        <v/>
      </c>
      <c r="DX9" s="44" t="str">
        <f aca="false">IF(OR(DX$7=制作工程表!$E$4,DX$7=制作工程表!$H$4,DX$7=制作工程表!$K$4),"撮",IF(DX$7=制作工程表!$H$34,"公",""))</f>
        <v/>
      </c>
      <c r="DY9" s="44" t="str">
        <f aca="false">IF(OR(DY$7=制作工程表!$E$4,DY$7=制作工程表!$H$4,DY$7=制作工程表!$K$4),"撮",IF(DY$7=制作工程表!$H$34,"公",""))</f>
        <v/>
      </c>
      <c r="DZ9" s="44" t="str">
        <f aca="false">IF(OR(DZ$7=制作工程表!$E$4,DZ$7=制作工程表!$H$4,DZ$7=制作工程表!$K$4),"撮",IF(DZ$7=制作工程表!$H$34,"公",""))</f>
        <v/>
      </c>
      <c r="EA9" s="44" t="str">
        <f aca="false">IF(OR(EA$7=制作工程表!$E$4,EA$7=制作工程表!$H$4,EA$7=制作工程表!$K$4),"撮",IF(EA$7=制作工程表!$H$34,"公",""))</f>
        <v/>
      </c>
      <c r="EB9" s="44" t="str">
        <f aca="false">IF(OR(EB$7=制作工程表!$E$4,EB$7=制作工程表!$H$4,EB$7=制作工程表!$K$4),"撮",IF(EB$7=制作工程表!$H$34,"公",""))</f>
        <v/>
      </c>
      <c r="EC9" s="44" t="str">
        <f aca="false">IF(OR(EC$7=制作工程表!$E$4,EC$7=制作工程表!$H$4,EC$7=制作工程表!$K$4),"撮",IF(EC$7=制作工程表!$H$34,"公",""))</f>
        <v/>
      </c>
      <c r="ED9" s="44" t="str">
        <f aca="false">IF(OR(ED$7=制作工程表!$E$4,ED$7=制作工程表!$H$4,ED$7=制作工程表!$K$4),"撮",IF(ED$7=制作工程表!$H$34,"公",""))</f>
        <v/>
      </c>
      <c r="EE9" s="44" t="str">
        <f aca="false">IF(OR(EE$7=制作工程表!$E$4,EE$7=制作工程表!$H$4,EE$7=制作工程表!$K$4),"撮",IF(EE$7=制作工程表!$H$34,"公",""))</f>
        <v/>
      </c>
      <c r="EF9" s="44" t="str">
        <f aca="false">IF(OR(EF$7=制作工程表!$E$4,EF$7=制作工程表!$H$4,EF$7=制作工程表!$K$4),"撮",IF(EF$7=制作工程表!$H$34,"公",""))</f>
        <v/>
      </c>
      <c r="EG9" s="44" t="str">
        <f aca="false">IF(OR(EG$7=制作工程表!$E$4,EG$7=制作工程表!$H$4,EG$7=制作工程表!$K$4),"撮",IF(EG$7=制作工程表!$H$34,"公",""))</f>
        <v/>
      </c>
      <c r="EH9" s="44" t="str">
        <f aca="false">IF(OR(EH$7=制作工程表!$E$4,EH$7=制作工程表!$H$4,EH$7=制作工程表!$K$4),"撮",IF(EH$7=制作工程表!$H$34,"公",""))</f>
        <v/>
      </c>
      <c r="EI9" s="44" t="str">
        <f aca="false">IF(OR(EI$7=制作工程表!$E$4,EI$7=制作工程表!$H$4,EI$7=制作工程表!$K$4),"撮",IF(EI$7=制作工程表!$H$34,"公",""))</f>
        <v/>
      </c>
      <c r="EJ9" s="44" t="str">
        <f aca="false">IF(OR(EJ$7=制作工程表!$E$4,EJ$7=制作工程表!$H$4,EJ$7=制作工程表!$K$4),"撮",IF(EJ$7=制作工程表!$H$34,"公",""))</f>
        <v/>
      </c>
      <c r="EK9" s="44" t="str">
        <f aca="false">IF(OR(EK$7=制作工程表!$E$4,EK$7=制作工程表!$H$4,EK$7=制作工程表!$K$4),"撮",IF(EK$7=制作工程表!$H$34,"公",""))</f>
        <v/>
      </c>
      <c r="EL9" s="44" t="str">
        <f aca="false">IF(OR(EL$7=制作工程表!$E$4,EL$7=制作工程表!$H$4,EL$7=制作工程表!$K$4),"撮",IF(EL$7=制作工程表!$H$34,"公",""))</f>
        <v/>
      </c>
      <c r="EM9" s="44" t="str">
        <f aca="false">IF(OR(EM$7=制作工程表!$E$4,EM$7=制作工程表!$H$4,EM$7=制作工程表!$K$4),"撮",IF(EM$7=制作工程表!$H$34,"公",""))</f>
        <v/>
      </c>
      <c r="EN9" s="44" t="str">
        <f aca="false">IF(OR(EN$7=制作工程表!$E$4,EN$7=制作工程表!$H$4,EN$7=制作工程表!$K$4),"撮",IF(EN$7=制作工程表!$H$34,"公",""))</f>
        <v/>
      </c>
      <c r="EO9" s="44" t="str">
        <f aca="false">IF(OR(EO$7=制作工程表!$E$4,EO$7=制作工程表!$H$4,EO$7=制作工程表!$K$4),"撮",IF(EO$7=制作工程表!$H$34,"公",""))</f>
        <v/>
      </c>
      <c r="EP9" s="44" t="str">
        <f aca="false">IF(OR(EP$7=制作工程表!$E$4,EP$7=制作工程表!$H$4,EP$7=制作工程表!$K$4),"撮",IF(EP$7=制作工程表!$H$34,"公",""))</f>
        <v/>
      </c>
      <c r="EQ9" s="44" t="str">
        <f aca="false">IF(OR(EQ$7=制作工程表!$E$4,EQ$7=制作工程表!$H$4,EQ$7=制作工程表!$K$4),"撮",IF(EQ$7=制作工程表!$H$34,"公",""))</f>
        <v/>
      </c>
      <c r="ER9" s="44" t="str">
        <f aca="false">IF(OR(ER$7=制作工程表!$E$4,ER$7=制作工程表!$H$4,ER$7=制作工程表!$K$4),"撮",IF(ER$7=制作工程表!$H$34,"公",""))</f>
        <v/>
      </c>
      <c r="ES9" s="44" t="str">
        <f aca="false">IF(OR(ES$7=制作工程表!$E$4,ES$7=制作工程表!$H$4,ES$7=制作工程表!$K$4),"撮",IF(ES$7=制作工程表!$H$34,"公",""))</f>
        <v/>
      </c>
      <c r="ET9" s="44" t="str">
        <f aca="false">IF(OR(ET$7=制作工程表!$E$4,ET$7=制作工程表!$H$4,ET$7=制作工程表!$K$4),"撮",IF(ET$7=制作工程表!$H$34,"公",""))</f>
        <v/>
      </c>
      <c r="EU9" s="44" t="str">
        <f aca="false">IF(OR(EU$7=制作工程表!$E$4,EU$7=制作工程表!$H$4,EU$7=制作工程表!$K$4),"撮",IF(EU$7=制作工程表!$H$34,"公",""))</f>
        <v/>
      </c>
      <c r="EV9" s="44" t="str">
        <f aca="false">IF(OR(EV$7=制作工程表!$E$4,EV$7=制作工程表!$H$4,EV$7=制作工程表!$K$4),"撮",IF(EV$7=制作工程表!$H$34,"公",""))</f>
        <v/>
      </c>
      <c r="EW9" s="44" t="str">
        <f aca="false">IF(OR(EW$7=制作工程表!$E$4,EW$7=制作工程表!$H$4,EW$7=制作工程表!$K$4),"撮",IF(EW$7=制作工程表!$H$34,"公",""))</f>
        <v/>
      </c>
      <c r="EX9" s="44" t="str">
        <f aca="false">IF(OR(EX$7=制作工程表!$E$4,EX$7=制作工程表!$H$4,EX$7=制作工程表!$K$4),"撮",IF(EX$7=制作工程表!$H$34,"公",""))</f>
        <v/>
      </c>
      <c r="EY9" s="44" t="str">
        <f aca="false">IF(OR(EY$7=制作工程表!$E$4,EY$7=制作工程表!$H$4,EY$7=制作工程表!$K$4),"撮",IF(EY$7=制作工程表!$H$34,"公",""))</f>
        <v/>
      </c>
      <c r="EZ9" s="44" t="str">
        <f aca="false">IF(OR(EZ$7=制作工程表!$E$4,EZ$7=制作工程表!$H$4,EZ$7=制作工程表!$K$4),"撮",IF(EZ$7=制作工程表!$H$34,"公",""))</f>
        <v/>
      </c>
      <c r="FA9" s="44" t="str">
        <f aca="false">IF(OR(FA$7=制作工程表!$E$4,FA$7=制作工程表!$H$4,FA$7=制作工程表!$K$4),"撮",IF(FA$7=制作工程表!$H$34,"公",""))</f>
        <v/>
      </c>
      <c r="FB9" s="44" t="str">
        <f aca="false">IF(OR(FB$7=制作工程表!$E$4,FB$7=制作工程表!$H$4,FB$7=制作工程表!$K$4),"撮",IF(FB$7=制作工程表!$H$34,"公",""))</f>
        <v/>
      </c>
      <c r="FC9" s="44" t="str">
        <f aca="false">IF(OR(FC$7=制作工程表!$E$4,FC$7=制作工程表!$H$4,FC$7=制作工程表!$K$4),"撮",IF(FC$7=制作工程表!$H$34,"公",""))</f>
        <v/>
      </c>
      <c r="FD9" s="44" t="str">
        <f aca="false">IF(OR(FD$7=制作工程表!$E$4,FD$7=制作工程表!$H$4,FD$7=制作工程表!$K$4),"撮",IF(FD$7=制作工程表!$H$34,"公",""))</f>
        <v/>
      </c>
      <c r="FE9" s="44" t="str">
        <f aca="false">IF(OR(FE$7=制作工程表!$E$4,FE$7=制作工程表!$H$4,FE$7=制作工程表!$K$4),"撮",IF(FE$7=制作工程表!$H$34,"公",""))</f>
        <v/>
      </c>
      <c r="FF9" s="44" t="str">
        <f aca="false">IF(OR(FF$7=制作工程表!$E$4,FF$7=制作工程表!$H$4,FF$7=制作工程表!$K$4),"撮",IF(FF$7=制作工程表!$H$34,"公",""))</f>
        <v/>
      </c>
      <c r="FG9" s="44" t="str">
        <f aca="false">IF(OR(FG$7=制作工程表!$E$4,FG$7=制作工程表!$H$4,FG$7=制作工程表!$K$4),"撮",IF(FG$7=制作工程表!$H$34,"公",""))</f>
        <v/>
      </c>
      <c r="FH9" s="44" t="str">
        <f aca="false">IF(OR(FH$7=制作工程表!$E$4,FH$7=制作工程表!$H$4,FH$7=制作工程表!$K$4),"撮",IF(FH$7=制作工程表!$H$34,"公",""))</f>
        <v/>
      </c>
      <c r="FI9" s="44" t="str">
        <f aca="false">IF(OR(FI$7=制作工程表!$E$4,FI$7=制作工程表!$H$4,FI$7=制作工程表!$K$4),"撮",IF(FI$7=制作工程表!$H$34,"公",""))</f>
        <v/>
      </c>
      <c r="FJ9" s="44" t="str">
        <f aca="false">IF(OR(FJ$7=制作工程表!$E$4,FJ$7=制作工程表!$H$4,FJ$7=制作工程表!$K$4),"撮",IF(FJ$7=制作工程表!$H$34,"公",""))</f>
        <v>公</v>
      </c>
      <c r="FK9" s="44" t="str">
        <f aca="false">IF(OR(FK$7=制作工程表!$E$4,FK$7=制作工程表!$H$4,FK$7=制作工程表!$K$4),"撮",IF(FK$7=制作工程表!$H$34,"公",""))</f>
        <v/>
      </c>
      <c r="FL9" s="44" t="str">
        <f aca="false">IF(OR(FL$7=制作工程表!$E$4,FL$7=制作工程表!$H$4,FL$7=制作工程表!$K$4),"撮",IF(FL$7=制作工程表!$H$34,"公",""))</f>
        <v/>
      </c>
      <c r="FM9" s="44" t="str">
        <f aca="false">IF(OR(FM$7=制作工程表!$E$4,FM$7=制作工程表!$H$4,FM$7=制作工程表!$K$4),"撮",IF(FM$7=制作工程表!$H$34,"公",""))</f>
        <v/>
      </c>
      <c r="FN9" s="44" t="str">
        <f aca="false">IF(OR(FN$7=制作工程表!$E$4,FN$7=制作工程表!$H$4,FN$7=制作工程表!$K$4),"撮",IF(FN$7=制作工程表!$H$34,"公",""))</f>
        <v/>
      </c>
      <c r="FO9" s="44" t="str">
        <f aca="false">IF(OR(FO$7=制作工程表!$E$4,FO$7=制作工程表!$H$4,FO$7=制作工程表!$K$4),"撮",IF(FO$7=制作工程表!$H$34,"公",""))</f>
        <v/>
      </c>
      <c r="FP9" s="44" t="str">
        <f aca="false">IF(OR(FP$7=制作工程表!$E$4,FP$7=制作工程表!$H$4,FP$7=制作工程表!$K$4),"撮",IF(FP$7=制作工程表!$H$34,"公",""))</f>
        <v/>
      </c>
      <c r="FQ9" s="44" t="str">
        <f aca="false">IF(OR(FQ$7=制作工程表!$E$4,FQ$7=制作工程表!$H$4,FQ$7=制作工程表!$K$4),"撮",IF(FQ$7=制作工程表!$H$34,"公",""))</f>
        <v/>
      </c>
      <c r="FR9" s="44" t="str">
        <f aca="false">IF(OR(FR$7=制作工程表!$E$4,FR$7=制作工程表!$H$4,FR$7=制作工程表!$K$4),"撮",IF(FR$7=制作工程表!$H$34,"公",""))</f>
        <v/>
      </c>
      <c r="FS9" s="44" t="str">
        <f aca="false">IF(OR(FS$7=制作工程表!$E$4,FS$7=制作工程表!$H$4,FS$7=制作工程表!$K$4),"撮",IF(FS$7=制作工程表!$H$34,"公",""))</f>
        <v/>
      </c>
      <c r="FT9" s="44" t="str">
        <f aca="false">IF(OR(FT$7=制作工程表!$E$4,FT$7=制作工程表!$H$4,FT$7=制作工程表!$K$4),"撮",IF(FT$7=制作工程表!$H$34,"公",""))</f>
        <v/>
      </c>
      <c r="FU9" s="44" t="str">
        <f aca="false">IF(OR(FU$7=制作工程表!$E$4,FU$7=制作工程表!$H$4,FU$7=制作工程表!$K$4),"撮",IF(FU$7=制作工程表!$H$34,"公",""))</f>
        <v/>
      </c>
      <c r="FV9" s="44" t="str">
        <f aca="false">IF(OR(FV$7=制作工程表!$E$4,FV$7=制作工程表!$H$4,FV$7=制作工程表!$K$4),"撮",IF(FV$7=制作工程表!$H$34,"公",""))</f>
        <v/>
      </c>
    </row>
    <row r="10" customFormat="false" ht="21.75" hidden="false" customHeight="true" outlineLevel="0" collapsed="false">
      <c r="A10" s="45" t="s">
        <v>75</v>
      </c>
      <c r="B10" s="45"/>
      <c r="C10" s="45"/>
      <c r="D10" s="45"/>
      <c r="E10" s="45"/>
      <c r="F10" s="46" t="s">
        <v>76</v>
      </c>
      <c r="G10" s="47" t="n">
        <f aca="false">MIN(制作工程表!G9:G14)</f>
        <v>46328</v>
      </c>
      <c r="H10" s="47" t="n">
        <f aca="false">MAX(制作工程表!H9:H14)</f>
        <v>46370</v>
      </c>
      <c r="I10" s="47" t="n">
        <f aca="false">IF(MAX(制作工程表!I9:I14)=0,"—",MAX(制作工程表!I9:I14))</f>
        <v>46370</v>
      </c>
      <c r="J10" s="48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</row>
    <row r="11" customFormat="false" ht="25.5" hidden="false" customHeight="true" outlineLevel="0" collapsed="false">
      <c r="A11" s="50" t="str">
        <f aca="false">制作工程表!A9</f>
        <v>T01</v>
      </c>
      <c r="B11" s="51" t="str">
        <f aca="false">制作工程表!B9</f>
        <v>企画</v>
      </c>
      <c r="C11" s="52" t="str">
        <f aca="false">制作工程表!C9</f>
        <v>キックオフ・ヒアリング</v>
      </c>
      <c r="D11" s="53" t="str">
        <f aca="false">制作工程表!D9</f>
        <v>編集ディレクター</v>
      </c>
      <c r="E11" s="53" t="str">
        <f aca="false">制作工程表!E9</f>
        <v>広報窓口</v>
      </c>
      <c r="F11" s="54" t="str">
        <f aca="false">IF(制作工程表!B9="取材撮影","撮影",IF(OR(制作工程表!D9="広報窓口",制作工程表!D9="代表",制作工程表!D9="技術営業課",制作工程表!D9="品質管理課",制作工程表!D9="製造部"),"企業","制作"))</f>
        <v>制作</v>
      </c>
      <c r="G11" s="55" t="n">
        <f aca="false">制作工程表!G9</f>
        <v>46328</v>
      </c>
      <c r="H11" s="55" t="n">
        <f aca="false">制作工程表!H9</f>
        <v>46328</v>
      </c>
      <c r="I11" s="56" t="str">
        <f aca="false">制作工程表!I9</f>
        <v>—</v>
      </c>
      <c r="J11" s="51" t="str">
        <f aca="false">制作工程表!K9</f>
        <v>未着手</v>
      </c>
      <c r="K11" s="57" t="str">
        <f aca="false">IF(AND(K$7=$I11,ISNUMBER($I11)),"◆","")</f>
        <v/>
      </c>
      <c r="L11" s="57" t="str">
        <f aca="false">IF(AND(L$7=$I11,ISNUMBER($I11)),"◆","")</f>
        <v/>
      </c>
      <c r="M11" s="57" t="str">
        <f aca="false">IF(AND(M$7=$I11,ISNUMBER($I11)),"◆","")</f>
        <v/>
      </c>
      <c r="N11" s="57" t="str">
        <f aca="false">IF(AND(N$7=$I11,ISNUMBER($I11)),"◆","")</f>
        <v/>
      </c>
      <c r="O11" s="57" t="str">
        <f aca="false">IF(AND(O$7=$I11,ISNUMBER($I11)),"◆","")</f>
        <v/>
      </c>
      <c r="P11" s="57" t="str">
        <f aca="false">IF(AND(P$7=$I11,ISNUMBER($I11)),"◆","")</f>
        <v/>
      </c>
      <c r="Q11" s="57" t="str">
        <f aca="false">IF(AND(Q$7=$I11,ISNUMBER($I11)),"◆","")</f>
        <v/>
      </c>
      <c r="R11" s="57" t="str">
        <f aca="false">IF(AND(R$7=$I11,ISNUMBER($I11)),"◆","")</f>
        <v/>
      </c>
      <c r="S11" s="57" t="str">
        <f aca="false">IF(AND(S$7=$I11,ISNUMBER($I11)),"◆","")</f>
        <v/>
      </c>
      <c r="T11" s="57" t="str">
        <f aca="false">IF(AND(T$7=$I11,ISNUMBER($I11)),"◆","")</f>
        <v/>
      </c>
      <c r="U11" s="57" t="str">
        <f aca="false">IF(AND(U$7=$I11,ISNUMBER($I11)),"◆","")</f>
        <v/>
      </c>
      <c r="V11" s="57" t="str">
        <f aca="false">IF(AND(V$7=$I11,ISNUMBER($I11)),"◆","")</f>
        <v/>
      </c>
      <c r="W11" s="57" t="str">
        <f aca="false">IF(AND(W$7=$I11,ISNUMBER($I11)),"◆","")</f>
        <v/>
      </c>
      <c r="X11" s="57" t="str">
        <f aca="false">IF(AND(X$7=$I11,ISNUMBER($I11)),"◆","")</f>
        <v/>
      </c>
      <c r="Y11" s="57" t="str">
        <f aca="false">IF(AND(Y$7=$I11,ISNUMBER($I11)),"◆","")</f>
        <v/>
      </c>
      <c r="Z11" s="57" t="str">
        <f aca="false">IF(AND(Z$7=$I11,ISNUMBER($I11)),"◆","")</f>
        <v/>
      </c>
      <c r="AA11" s="57" t="str">
        <f aca="false">IF(AND(AA$7=$I11,ISNUMBER($I11)),"◆","")</f>
        <v/>
      </c>
      <c r="AB11" s="57" t="str">
        <f aca="false">IF(AND(AB$7=$I11,ISNUMBER($I11)),"◆","")</f>
        <v/>
      </c>
      <c r="AC11" s="57" t="str">
        <f aca="false">IF(AND(AC$7=$I11,ISNUMBER($I11)),"◆","")</f>
        <v/>
      </c>
      <c r="AD11" s="57" t="str">
        <f aca="false">IF(AND(AD$7=$I11,ISNUMBER($I11)),"◆","")</f>
        <v/>
      </c>
      <c r="AE11" s="57" t="str">
        <f aca="false">IF(AND(AE$7=$I11,ISNUMBER($I11)),"◆","")</f>
        <v/>
      </c>
      <c r="AF11" s="57" t="str">
        <f aca="false">IF(AND(AF$7=$I11,ISNUMBER($I11)),"◆","")</f>
        <v/>
      </c>
      <c r="AG11" s="57" t="str">
        <f aca="false">IF(AND(AG$7=$I11,ISNUMBER($I11)),"◆","")</f>
        <v/>
      </c>
      <c r="AH11" s="57" t="str">
        <f aca="false">IF(AND(AH$7=$I11,ISNUMBER($I11)),"◆","")</f>
        <v/>
      </c>
      <c r="AI11" s="57" t="str">
        <f aca="false">IF(AND(AI$7=$I11,ISNUMBER($I11)),"◆","")</f>
        <v/>
      </c>
      <c r="AJ11" s="57" t="str">
        <f aca="false">IF(AND(AJ$7=$I11,ISNUMBER($I11)),"◆","")</f>
        <v/>
      </c>
      <c r="AK11" s="57" t="str">
        <f aca="false">IF(AND(AK$7=$I11,ISNUMBER($I11)),"◆","")</f>
        <v/>
      </c>
      <c r="AL11" s="57" t="str">
        <f aca="false">IF(AND(AL$7=$I11,ISNUMBER($I11)),"◆","")</f>
        <v/>
      </c>
      <c r="AM11" s="57" t="str">
        <f aca="false">IF(AND(AM$7=$I11,ISNUMBER($I11)),"◆","")</f>
        <v/>
      </c>
      <c r="AN11" s="57" t="str">
        <f aca="false">IF(AND(AN$7=$I11,ISNUMBER($I11)),"◆","")</f>
        <v/>
      </c>
      <c r="AO11" s="57" t="str">
        <f aca="false">IF(AND(AO$7=$I11,ISNUMBER($I11)),"◆","")</f>
        <v/>
      </c>
      <c r="AP11" s="57" t="str">
        <f aca="false">IF(AND(AP$7=$I11,ISNUMBER($I11)),"◆","")</f>
        <v/>
      </c>
      <c r="AQ11" s="57" t="str">
        <f aca="false">IF(AND(AQ$7=$I11,ISNUMBER($I11)),"◆","")</f>
        <v/>
      </c>
      <c r="AR11" s="57" t="str">
        <f aca="false">IF(AND(AR$7=$I11,ISNUMBER($I11)),"◆","")</f>
        <v/>
      </c>
      <c r="AS11" s="57" t="str">
        <f aca="false">IF(AND(AS$7=$I11,ISNUMBER($I11)),"◆","")</f>
        <v/>
      </c>
      <c r="AT11" s="57" t="str">
        <f aca="false">IF(AND(AT$7=$I11,ISNUMBER($I11)),"◆","")</f>
        <v/>
      </c>
      <c r="AU11" s="57" t="str">
        <f aca="false">IF(AND(AU$7=$I11,ISNUMBER($I11)),"◆","")</f>
        <v/>
      </c>
      <c r="AV11" s="57" t="str">
        <f aca="false">IF(AND(AV$7=$I11,ISNUMBER($I11)),"◆","")</f>
        <v/>
      </c>
      <c r="AW11" s="57" t="str">
        <f aca="false">IF(AND(AW$7=$I11,ISNUMBER($I11)),"◆","")</f>
        <v/>
      </c>
      <c r="AX11" s="57" t="str">
        <f aca="false">IF(AND(AX$7=$I11,ISNUMBER($I11)),"◆","")</f>
        <v/>
      </c>
      <c r="AY11" s="57" t="str">
        <f aca="false">IF(AND(AY$7=$I11,ISNUMBER($I11)),"◆","")</f>
        <v/>
      </c>
      <c r="AZ11" s="57" t="str">
        <f aca="false">IF(AND(AZ$7=$I11,ISNUMBER($I11)),"◆","")</f>
        <v/>
      </c>
      <c r="BA11" s="57" t="str">
        <f aca="false">IF(AND(BA$7=$I11,ISNUMBER($I11)),"◆","")</f>
        <v/>
      </c>
      <c r="BB11" s="57" t="str">
        <f aca="false">IF(AND(BB$7=$I11,ISNUMBER($I11)),"◆","")</f>
        <v/>
      </c>
      <c r="BC11" s="57" t="str">
        <f aca="false">IF(AND(BC$7=$I11,ISNUMBER($I11)),"◆","")</f>
        <v/>
      </c>
      <c r="BD11" s="57" t="str">
        <f aca="false">IF(AND(BD$7=$I11,ISNUMBER($I11)),"◆","")</f>
        <v/>
      </c>
      <c r="BE11" s="57" t="str">
        <f aca="false">IF(AND(BE$7=$I11,ISNUMBER($I11)),"◆","")</f>
        <v/>
      </c>
      <c r="BF11" s="57" t="str">
        <f aca="false">IF(AND(BF$7=$I11,ISNUMBER($I11)),"◆","")</f>
        <v/>
      </c>
      <c r="BG11" s="57" t="str">
        <f aca="false">IF(AND(BG$7=$I11,ISNUMBER($I11)),"◆","")</f>
        <v/>
      </c>
      <c r="BH11" s="57" t="str">
        <f aca="false">IF(AND(BH$7=$I11,ISNUMBER($I11)),"◆","")</f>
        <v/>
      </c>
      <c r="BI11" s="57" t="str">
        <f aca="false">IF(AND(BI$7=$I11,ISNUMBER($I11)),"◆","")</f>
        <v/>
      </c>
      <c r="BJ11" s="57" t="str">
        <f aca="false">IF(AND(BJ$7=$I11,ISNUMBER($I11)),"◆","")</f>
        <v/>
      </c>
      <c r="BK11" s="57" t="str">
        <f aca="false">IF(AND(BK$7=$I11,ISNUMBER($I11)),"◆","")</f>
        <v/>
      </c>
      <c r="BL11" s="57" t="str">
        <f aca="false">IF(AND(BL$7=$I11,ISNUMBER($I11)),"◆","")</f>
        <v/>
      </c>
      <c r="BM11" s="57" t="str">
        <f aca="false">IF(AND(BM$7=$I11,ISNUMBER($I11)),"◆","")</f>
        <v/>
      </c>
      <c r="BN11" s="57" t="str">
        <f aca="false">IF(AND(BN$7=$I11,ISNUMBER($I11)),"◆","")</f>
        <v/>
      </c>
      <c r="BO11" s="57" t="str">
        <f aca="false">IF(AND(BO$7=$I11,ISNUMBER($I11)),"◆","")</f>
        <v/>
      </c>
      <c r="BP11" s="57" t="str">
        <f aca="false">IF(AND(BP$7=$I11,ISNUMBER($I11)),"◆","")</f>
        <v/>
      </c>
      <c r="BQ11" s="57" t="str">
        <f aca="false">IF(AND(BQ$7=$I11,ISNUMBER($I11)),"◆","")</f>
        <v/>
      </c>
      <c r="BR11" s="57" t="str">
        <f aca="false">IF(AND(BR$7=$I11,ISNUMBER($I11)),"◆","")</f>
        <v/>
      </c>
      <c r="BS11" s="57" t="str">
        <f aca="false">IF(AND(BS$7=$I11,ISNUMBER($I11)),"◆","")</f>
        <v/>
      </c>
      <c r="BT11" s="57" t="str">
        <f aca="false">IF(AND(BT$7=$I11,ISNUMBER($I11)),"◆","")</f>
        <v/>
      </c>
      <c r="BU11" s="57" t="str">
        <f aca="false">IF(AND(BU$7=$I11,ISNUMBER($I11)),"◆","")</f>
        <v/>
      </c>
      <c r="BV11" s="57" t="str">
        <f aca="false">IF(AND(BV$7=$I11,ISNUMBER($I11)),"◆","")</f>
        <v/>
      </c>
      <c r="BW11" s="57" t="str">
        <f aca="false">IF(AND(BW$7=$I11,ISNUMBER($I11)),"◆","")</f>
        <v/>
      </c>
      <c r="BX11" s="57" t="str">
        <f aca="false">IF(AND(BX$7=$I11,ISNUMBER($I11)),"◆","")</f>
        <v/>
      </c>
      <c r="BY11" s="57" t="str">
        <f aca="false">IF(AND(BY$7=$I11,ISNUMBER($I11)),"◆","")</f>
        <v/>
      </c>
      <c r="BZ11" s="57" t="str">
        <f aca="false">IF(AND(BZ$7=$I11,ISNUMBER($I11)),"◆","")</f>
        <v/>
      </c>
      <c r="CA11" s="57" t="str">
        <f aca="false">IF(AND(CA$7=$I11,ISNUMBER($I11)),"◆","")</f>
        <v/>
      </c>
      <c r="CB11" s="57" t="str">
        <f aca="false">IF(AND(CB$7=$I11,ISNUMBER($I11)),"◆","")</f>
        <v/>
      </c>
      <c r="CC11" s="57" t="str">
        <f aca="false">IF(AND(CC$7=$I11,ISNUMBER($I11)),"◆","")</f>
        <v/>
      </c>
      <c r="CD11" s="57" t="str">
        <f aca="false">IF(AND(CD$7=$I11,ISNUMBER($I11)),"◆","")</f>
        <v/>
      </c>
      <c r="CE11" s="57" t="str">
        <f aca="false">IF(AND(CE$7=$I11,ISNUMBER($I11)),"◆","")</f>
        <v/>
      </c>
      <c r="CF11" s="57" t="str">
        <f aca="false">IF(AND(CF$7=$I11,ISNUMBER($I11)),"◆","")</f>
        <v/>
      </c>
      <c r="CG11" s="57" t="str">
        <f aca="false">IF(AND(CG$7=$I11,ISNUMBER($I11)),"◆","")</f>
        <v/>
      </c>
      <c r="CH11" s="57" t="str">
        <f aca="false">IF(AND(CH$7=$I11,ISNUMBER($I11)),"◆","")</f>
        <v/>
      </c>
      <c r="CI11" s="57" t="str">
        <f aca="false">IF(AND(CI$7=$I11,ISNUMBER($I11)),"◆","")</f>
        <v/>
      </c>
      <c r="CJ11" s="57" t="str">
        <f aca="false">IF(AND(CJ$7=$I11,ISNUMBER($I11)),"◆","")</f>
        <v/>
      </c>
      <c r="CK11" s="57" t="str">
        <f aca="false">IF(AND(CK$7=$I11,ISNUMBER($I11)),"◆","")</f>
        <v/>
      </c>
      <c r="CL11" s="57" t="str">
        <f aca="false">IF(AND(CL$7=$I11,ISNUMBER($I11)),"◆","")</f>
        <v/>
      </c>
      <c r="CM11" s="57" t="str">
        <f aca="false">IF(AND(CM$7=$I11,ISNUMBER($I11)),"◆","")</f>
        <v/>
      </c>
      <c r="CN11" s="57" t="str">
        <f aca="false">IF(AND(CN$7=$I11,ISNUMBER($I11)),"◆","")</f>
        <v/>
      </c>
      <c r="CO11" s="57" t="str">
        <f aca="false">IF(AND(CO$7=$I11,ISNUMBER($I11)),"◆","")</f>
        <v/>
      </c>
      <c r="CP11" s="57" t="str">
        <f aca="false">IF(AND(CP$7=$I11,ISNUMBER($I11)),"◆","")</f>
        <v/>
      </c>
      <c r="CQ11" s="57" t="str">
        <f aca="false">IF(AND(CQ$7=$I11,ISNUMBER($I11)),"◆","")</f>
        <v/>
      </c>
      <c r="CR11" s="57" t="str">
        <f aca="false">IF(AND(CR$7=$I11,ISNUMBER($I11)),"◆","")</f>
        <v/>
      </c>
      <c r="CS11" s="57" t="str">
        <f aca="false">IF(AND(CS$7=$I11,ISNUMBER($I11)),"◆","")</f>
        <v/>
      </c>
      <c r="CT11" s="57" t="str">
        <f aca="false">IF(AND(CT$7=$I11,ISNUMBER($I11)),"◆","")</f>
        <v/>
      </c>
      <c r="CU11" s="57" t="str">
        <f aca="false">IF(AND(CU$7=$I11,ISNUMBER($I11)),"◆","")</f>
        <v/>
      </c>
      <c r="CV11" s="57" t="str">
        <f aca="false">IF(AND(CV$7=$I11,ISNUMBER($I11)),"◆","")</f>
        <v/>
      </c>
      <c r="CW11" s="57" t="str">
        <f aca="false">IF(AND(CW$7=$I11,ISNUMBER($I11)),"◆","")</f>
        <v/>
      </c>
      <c r="CX11" s="57" t="str">
        <f aca="false">IF(AND(CX$7=$I11,ISNUMBER($I11)),"◆","")</f>
        <v/>
      </c>
      <c r="CY11" s="57" t="str">
        <f aca="false">IF(AND(CY$7=$I11,ISNUMBER($I11)),"◆","")</f>
        <v/>
      </c>
      <c r="CZ11" s="57" t="str">
        <f aca="false">IF(AND(CZ$7=$I11,ISNUMBER($I11)),"◆","")</f>
        <v/>
      </c>
      <c r="DA11" s="57" t="str">
        <f aca="false">IF(AND(DA$7=$I11,ISNUMBER($I11)),"◆","")</f>
        <v/>
      </c>
      <c r="DB11" s="57" t="str">
        <f aca="false">IF(AND(DB$7=$I11,ISNUMBER($I11)),"◆","")</f>
        <v/>
      </c>
      <c r="DC11" s="57" t="str">
        <f aca="false">IF(AND(DC$7=$I11,ISNUMBER($I11)),"◆","")</f>
        <v/>
      </c>
      <c r="DD11" s="57" t="str">
        <f aca="false">IF(AND(DD$7=$I11,ISNUMBER($I11)),"◆","")</f>
        <v/>
      </c>
      <c r="DE11" s="57" t="str">
        <f aca="false">IF(AND(DE$7=$I11,ISNUMBER($I11)),"◆","")</f>
        <v/>
      </c>
      <c r="DF11" s="57" t="str">
        <f aca="false">IF(AND(DF$7=$I11,ISNUMBER($I11)),"◆","")</f>
        <v/>
      </c>
      <c r="DG11" s="57" t="str">
        <f aca="false">IF(AND(DG$7=$I11,ISNUMBER($I11)),"◆","")</f>
        <v/>
      </c>
      <c r="DH11" s="57" t="str">
        <f aca="false">IF(AND(DH$7=$I11,ISNUMBER($I11)),"◆","")</f>
        <v/>
      </c>
      <c r="DI11" s="57" t="str">
        <f aca="false">IF(AND(DI$7=$I11,ISNUMBER($I11)),"◆","")</f>
        <v/>
      </c>
      <c r="DJ11" s="57" t="str">
        <f aca="false">IF(AND(DJ$7=$I11,ISNUMBER($I11)),"◆","")</f>
        <v/>
      </c>
      <c r="DK11" s="57" t="str">
        <f aca="false">IF(AND(DK$7=$I11,ISNUMBER($I11)),"◆","")</f>
        <v/>
      </c>
      <c r="DL11" s="57" t="str">
        <f aca="false">IF(AND(DL$7=$I11,ISNUMBER($I11)),"◆","")</f>
        <v/>
      </c>
      <c r="DM11" s="57" t="str">
        <f aca="false">IF(AND(DM$7=$I11,ISNUMBER($I11)),"◆","")</f>
        <v/>
      </c>
      <c r="DN11" s="57" t="str">
        <f aca="false">IF(AND(DN$7=$I11,ISNUMBER($I11)),"◆","")</f>
        <v/>
      </c>
      <c r="DO11" s="57" t="str">
        <f aca="false">IF(AND(DO$7=$I11,ISNUMBER($I11)),"◆","")</f>
        <v/>
      </c>
      <c r="DP11" s="57" t="str">
        <f aca="false">IF(AND(DP$7=$I11,ISNUMBER($I11)),"◆","")</f>
        <v/>
      </c>
      <c r="DQ11" s="57" t="str">
        <f aca="false">IF(AND(DQ$7=$I11,ISNUMBER($I11)),"◆","")</f>
        <v/>
      </c>
      <c r="DR11" s="57" t="str">
        <f aca="false">IF(AND(DR$7=$I11,ISNUMBER($I11)),"◆","")</f>
        <v/>
      </c>
      <c r="DS11" s="57" t="str">
        <f aca="false">IF(AND(DS$7=$I11,ISNUMBER($I11)),"◆","")</f>
        <v/>
      </c>
      <c r="DT11" s="57" t="str">
        <f aca="false">IF(AND(DT$7=$I11,ISNUMBER($I11)),"◆","")</f>
        <v/>
      </c>
      <c r="DU11" s="57" t="str">
        <f aca="false">IF(AND(DU$7=$I11,ISNUMBER($I11)),"◆","")</f>
        <v/>
      </c>
      <c r="DV11" s="57" t="str">
        <f aca="false">IF(AND(DV$7=$I11,ISNUMBER($I11)),"◆","")</f>
        <v/>
      </c>
      <c r="DW11" s="57" t="str">
        <f aca="false">IF(AND(DW$7=$I11,ISNUMBER($I11)),"◆","")</f>
        <v/>
      </c>
      <c r="DX11" s="57" t="str">
        <f aca="false">IF(AND(DX$7=$I11,ISNUMBER($I11)),"◆","")</f>
        <v/>
      </c>
      <c r="DY11" s="57" t="str">
        <f aca="false">IF(AND(DY$7=$I11,ISNUMBER($I11)),"◆","")</f>
        <v/>
      </c>
      <c r="DZ11" s="57" t="str">
        <f aca="false">IF(AND(DZ$7=$I11,ISNUMBER($I11)),"◆","")</f>
        <v/>
      </c>
      <c r="EA11" s="57" t="str">
        <f aca="false">IF(AND(EA$7=$I11,ISNUMBER($I11)),"◆","")</f>
        <v/>
      </c>
      <c r="EB11" s="57" t="str">
        <f aca="false">IF(AND(EB$7=$I11,ISNUMBER($I11)),"◆","")</f>
        <v/>
      </c>
      <c r="EC11" s="57" t="str">
        <f aca="false">IF(AND(EC$7=$I11,ISNUMBER($I11)),"◆","")</f>
        <v/>
      </c>
      <c r="ED11" s="57" t="str">
        <f aca="false">IF(AND(ED$7=$I11,ISNUMBER($I11)),"◆","")</f>
        <v/>
      </c>
      <c r="EE11" s="57" t="str">
        <f aca="false">IF(AND(EE$7=$I11,ISNUMBER($I11)),"◆","")</f>
        <v/>
      </c>
      <c r="EF11" s="57" t="str">
        <f aca="false">IF(AND(EF$7=$I11,ISNUMBER($I11)),"◆","")</f>
        <v/>
      </c>
      <c r="EG11" s="57" t="str">
        <f aca="false">IF(AND(EG$7=$I11,ISNUMBER($I11)),"◆","")</f>
        <v/>
      </c>
      <c r="EH11" s="57" t="str">
        <f aca="false">IF(AND(EH$7=$I11,ISNUMBER($I11)),"◆","")</f>
        <v/>
      </c>
      <c r="EI11" s="57" t="str">
        <f aca="false">IF(AND(EI$7=$I11,ISNUMBER($I11)),"◆","")</f>
        <v/>
      </c>
      <c r="EJ11" s="57" t="str">
        <f aca="false">IF(AND(EJ$7=$I11,ISNUMBER($I11)),"◆","")</f>
        <v/>
      </c>
      <c r="EK11" s="57" t="str">
        <f aca="false">IF(AND(EK$7=$I11,ISNUMBER($I11)),"◆","")</f>
        <v/>
      </c>
      <c r="EL11" s="57" t="str">
        <f aca="false">IF(AND(EL$7=$I11,ISNUMBER($I11)),"◆","")</f>
        <v/>
      </c>
      <c r="EM11" s="57" t="str">
        <f aca="false">IF(AND(EM$7=$I11,ISNUMBER($I11)),"◆","")</f>
        <v/>
      </c>
      <c r="EN11" s="57" t="str">
        <f aca="false">IF(AND(EN$7=$I11,ISNUMBER($I11)),"◆","")</f>
        <v/>
      </c>
      <c r="EO11" s="57" t="str">
        <f aca="false">IF(AND(EO$7=$I11,ISNUMBER($I11)),"◆","")</f>
        <v/>
      </c>
      <c r="EP11" s="57" t="str">
        <f aca="false">IF(AND(EP$7=$I11,ISNUMBER($I11)),"◆","")</f>
        <v/>
      </c>
      <c r="EQ11" s="57" t="str">
        <f aca="false">IF(AND(EQ$7=$I11,ISNUMBER($I11)),"◆","")</f>
        <v/>
      </c>
      <c r="ER11" s="57" t="str">
        <f aca="false">IF(AND(ER$7=$I11,ISNUMBER($I11)),"◆","")</f>
        <v/>
      </c>
      <c r="ES11" s="57" t="str">
        <f aca="false">IF(AND(ES$7=$I11,ISNUMBER($I11)),"◆","")</f>
        <v/>
      </c>
      <c r="ET11" s="57" t="str">
        <f aca="false">IF(AND(ET$7=$I11,ISNUMBER($I11)),"◆","")</f>
        <v/>
      </c>
      <c r="EU11" s="57" t="str">
        <f aca="false">IF(AND(EU$7=$I11,ISNUMBER($I11)),"◆","")</f>
        <v/>
      </c>
      <c r="EV11" s="57" t="str">
        <f aca="false">IF(AND(EV$7=$I11,ISNUMBER($I11)),"◆","")</f>
        <v/>
      </c>
      <c r="EW11" s="57" t="str">
        <f aca="false">IF(AND(EW$7=$I11,ISNUMBER($I11)),"◆","")</f>
        <v/>
      </c>
      <c r="EX11" s="57" t="str">
        <f aca="false">IF(AND(EX$7=$I11,ISNUMBER($I11)),"◆","")</f>
        <v/>
      </c>
      <c r="EY11" s="57" t="str">
        <f aca="false">IF(AND(EY$7=$I11,ISNUMBER($I11)),"◆","")</f>
        <v/>
      </c>
      <c r="EZ11" s="57" t="str">
        <f aca="false">IF(AND(EZ$7=$I11,ISNUMBER($I11)),"◆","")</f>
        <v/>
      </c>
      <c r="FA11" s="57" t="str">
        <f aca="false">IF(AND(FA$7=$I11,ISNUMBER($I11)),"◆","")</f>
        <v/>
      </c>
      <c r="FB11" s="57" t="str">
        <f aca="false">IF(AND(FB$7=$I11,ISNUMBER($I11)),"◆","")</f>
        <v/>
      </c>
      <c r="FC11" s="57" t="str">
        <f aca="false">IF(AND(FC$7=$I11,ISNUMBER($I11)),"◆","")</f>
        <v/>
      </c>
      <c r="FD11" s="57" t="str">
        <f aca="false">IF(AND(FD$7=$I11,ISNUMBER($I11)),"◆","")</f>
        <v/>
      </c>
      <c r="FE11" s="57" t="str">
        <f aca="false">IF(AND(FE$7=$I11,ISNUMBER($I11)),"◆","")</f>
        <v/>
      </c>
      <c r="FF11" s="57" t="str">
        <f aca="false">IF(AND(FF$7=$I11,ISNUMBER($I11)),"◆","")</f>
        <v/>
      </c>
      <c r="FG11" s="57" t="str">
        <f aca="false">IF(AND(FG$7=$I11,ISNUMBER($I11)),"◆","")</f>
        <v/>
      </c>
      <c r="FH11" s="57" t="str">
        <f aca="false">IF(AND(FH$7=$I11,ISNUMBER($I11)),"◆","")</f>
        <v/>
      </c>
      <c r="FI11" s="57" t="str">
        <f aca="false">IF(AND(FI$7=$I11,ISNUMBER($I11)),"◆","")</f>
        <v/>
      </c>
      <c r="FJ11" s="57" t="str">
        <f aca="false">IF(AND(FJ$7=$I11,ISNUMBER($I11)),"◆","")</f>
        <v/>
      </c>
      <c r="FK11" s="57" t="str">
        <f aca="false">IF(AND(FK$7=$I11,ISNUMBER($I11)),"◆","")</f>
        <v/>
      </c>
      <c r="FL11" s="57" t="str">
        <f aca="false">IF(AND(FL$7=$I11,ISNUMBER($I11)),"◆","")</f>
        <v/>
      </c>
      <c r="FM11" s="57" t="str">
        <f aca="false">IF(AND(FM$7=$I11,ISNUMBER($I11)),"◆","")</f>
        <v/>
      </c>
      <c r="FN11" s="57" t="str">
        <f aca="false">IF(AND(FN$7=$I11,ISNUMBER($I11)),"◆","")</f>
        <v/>
      </c>
      <c r="FO11" s="57" t="str">
        <f aca="false">IF(AND(FO$7=$I11,ISNUMBER($I11)),"◆","")</f>
        <v/>
      </c>
      <c r="FP11" s="57" t="str">
        <f aca="false">IF(AND(FP$7=$I11,ISNUMBER($I11)),"◆","")</f>
        <v/>
      </c>
      <c r="FQ11" s="57" t="str">
        <f aca="false">IF(AND(FQ$7=$I11,ISNUMBER($I11)),"◆","")</f>
        <v/>
      </c>
      <c r="FR11" s="57" t="str">
        <f aca="false">IF(AND(FR$7=$I11,ISNUMBER($I11)),"◆","")</f>
        <v/>
      </c>
      <c r="FS11" s="57" t="str">
        <f aca="false">IF(AND(FS$7=$I11,ISNUMBER($I11)),"◆","")</f>
        <v/>
      </c>
      <c r="FT11" s="57" t="str">
        <f aca="false">IF(AND(FT$7=$I11,ISNUMBER($I11)),"◆","")</f>
        <v/>
      </c>
      <c r="FU11" s="57" t="str">
        <f aca="false">IF(AND(FU$7=$I11,ISNUMBER($I11)),"◆","")</f>
        <v/>
      </c>
      <c r="FV11" s="57" t="str">
        <f aca="false">IF(AND(FV$7=$I11,ISNUMBER($I11)),"◆","")</f>
        <v/>
      </c>
    </row>
    <row r="12" customFormat="false" ht="25.5" hidden="false" customHeight="true" outlineLevel="0" collapsed="false">
      <c r="A12" s="50" t="str">
        <f aca="false">制作工程表!A10</f>
        <v>T02</v>
      </c>
      <c r="B12" s="51" t="str">
        <f aca="false">制作工程表!B10</f>
        <v>企画</v>
      </c>
      <c r="C12" s="52" t="str">
        <f aca="false">制作工程表!C10</f>
        <v>製品情報の棚卸し・構成案の作成</v>
      </c>
      <c r="D12" s="53" t="str">
        <f aca="false">制作工程表!D10</f>
        <v>編集ディレクター</v>
      </c>
      <c r="E12" s="53" t="str">
        <f aca="false">制作工程表!E10</f>
        <v>—</v>
      </c>
      <c r="F12" s="54" t="str">
        <f aca="false">IF(制作工程表!B10="取材撮影","撮影",IF(OR(制作工程表!D10="広報窓口",制作工程表!D10="代表",制作工程表!D10="技術営業課",制作工程表!D10="品質管理課",制作工程表!D10="製造部"),"企業","制作"))</f>
        <v>制作</v>
      </c>
      <c r="G12" s="55" t="n">
        <f aca="false">制作工程表!G10</f>
        <v>46330</v>
      </c>
      <c r="H12" s="55" t="n">
        <f aca="false">制作工程表!H10</f>
        <v>46338</v>
      </c>
      <c r="I12" s="56" t="str">
        <f aca="false">制作工程表!I10</f>
        <v>—</v>
      </c>
      <c r="J12" s="51" t="str">
        <f aca="false">制作工程表!K10</f>
        <v>未着手</v>
      </c>
      <c r="K12" s="57" t="str">
        <f aca="false">IF(AND(K$7=$I12,ISNUMBER($I12)),"◆","")</f>
        <v/>
      </c>
      <c r="L12" s="57" t="str">
        <f aca="false">IF(AND(L$7=$I12,ISNUMBER($I12)),"◆","")</f>
        <v/>
      </c>
      <c r="M12" s="57" t="str">
        <f aca="false">IF(AND(M$7=$I12,ISNUMBER($I12)),"◆","")</f>
        <v/>
      </c>
      <c r="N12" s="57" t="str">
        <f aca="false">IF(AND(N$7=$I12,ISNUMBER($I12)),"◆","")</f>
        <v/>
      </c>
      <c r="O12" s="57" t="str">
        <f aca="false">IF(AND(O$7=$I12,ISNUMBER($I12)),"◆","")</f>
        <v/>
      </c>
      <c r="P12" s="57" t="str">
        <f aca="false">IF(AND(P$7=$I12,ISNUMBER($I12)),"◆","")</f>
        <v/>
      </c>
      <c r="Q12" s="57" t="str">
        <f aca="false">IF(AND(Q$7=$I12,ISNUMBER($I12)),"◆","")</f>
        <v/>
      </c>
      <c r="R12" s="57" t="str">
        <f aca="false">IF(AND(R$7=$I12,ISNUMBER($I12)),"◆","")</f>
        <v/>
      </c>
      <c r="S12" s="57" t="str">
        <f aca="false">IF(AND(S$7=$I12,ISNUMBER($I12)),"◆","")</f>
        <v/>
      </c>
      <c r="T12" s="57" t="str">
        <f aca="false">IF(AND(T$7=$I12,ISNUMBER($I12)),"◆","")</f>
        <v/>
      </c>
      <c r="U12" s="57" t="str">
        <f aca="false">IF(AND(U$7=$I12,ISNUMBER($I12)),"◆","")</f>
        <v/>
      </c>
      <c r="V12" s="57" t="str">
        <f aca="false">IF(AND(V$7=$I12,ISNUMBER($I12)),"◆","")</f>
        <v/>
      </c>
      <c r="W12" s="57" t="str">
        <f aca="false">IF(AND(W$7=$I12,ISNUMBER($I12)),"◆","")</f>
        <v/>
      </c>
      <c r="X12" s="57" t="str">
        <f aca="false">IF(AND(X$7=$I12,ISNUMBER($I12)),"◆","")</f>
        <v/>
      </c>
      <c r="Y12" s="57" t="str">
        <f aca="false">IF(AND(Y$7=$I12,ISNUMBER($I12)),"◆","")</f>
        <v/>
      </c>
      <c r="Z12" s="57" t="str">
        <f aca="false">IF(AND(Z$7=$I12,ISNUMBER($I12)),"◆","")</f>
        <v/>
      </c>
      <c r="AA12" s="57" t="str">
        <f aca="false">IF(AND(AA$7=$I12,ISNUMBER($I12)),"◆","")</f>
        <v/>
      </c>
      <c r="AB12" s="57" t="str">
        <f aca="false">IF(AND(AB$7=$I12,ISNUMBER($I12)),"◆","")</f>
        <v/>
      </c>
      <c r="AC12" s="57" t="str">
        <f aca="false">IF(AND(AC$7=$I12,ISNUMBER($I12)),"◆","")</f>
        <v/>
      </c>
      <c r="AD12" s="57" t="str">
        <f aca="false">IF(AND(AD$7=$I12,ISNUMBER($I12)),"◆","")</f>
        <v/>
      </c>
      <c r="AE12" s="57" t="str">
        <f aca="false">IF(AND(AE$7=$I12,ISNUMBER($I12)),"◆","")</f>
        <v/>
      </c>
      <c r="AF12" s="57" t="str">
        <f aca="false">IF(AND(AF$7=$I12,ISNUMBER($I12)),"◆","")</f>
        <v/>
      </c>
      <c r="AG12" s="57" t="str">
        <f aca="false">IF(AND(AG$7=$I12,ISNUMBER($I12)),"◆","")</f>
        <v/>
      </c>
      <c r="AH12" s="57" t="str">
        <f aca="false">IF(AND(AH$7=$I12,ISNUMBER($I12)),"◆","")</f>
        <v/>
      </c>
      <c r="AI12" s="57" t="str">
        <f aca="false">IF(AND(AI$7=$I12,ISNUMBER($I12)),"◆","")</f>
        <v/>
      </c>
      <c r="AJ12" s="57" t="str">
        <f aca="false">IF(AND(AJ$7=$I12,ISNUMBER($I12)),"◆","")</f>
        <v/>
      </c>
      <c r="AK12" s="57" t="str">
        <f aca="false">IF(AND(AK$7=$I12,ISNUMBER($I12)),"◆","")</f>
        <v/>
      </c>
      <c r="AL12" s="57" t="str">
        <f aca="false">IF(AND(AL$7=$I12,ISNUMBER($I12)),"◆","")</f>
        <v/>
      </c>
      <c r="AM12" s="57" t="str">
        <f aca="false">IF(AND(AM$7=$I12,ISNUMBER($I12)),"◆","")</f>
        <v/>
      </c>
      <c r="AN12" s="57" t="str">
        <f aca="false">IF(AND(AN$7=$I12,ISNUMBER($I12)),"◆","")</f>
        <v/>
      </c>
      <c r="AO12" s="57" t="str">
        <f aca="false">IF(AND(AO$7=$I12,ISNUMBER($I12)),"◆","")</f>
        <v/>
      </c>
      <c r="AP12" s="57" t="str">
        <f aca="false">IF(AND(AP$7=$I12,ISNUMBER($I12)),"◆","")</f>
        <v/>
      </c>
      <c r="AQ12" s="57" t="str">
        <f aca="false">IF(AND(AQ$7=$I12,ISNUMBER($I12)),"◆","")</f>
        <v/>
      </c>
      <c r="AR12" s="57" t="str">
        <f aca="false">IF(AND(AR$7=$I12,ISNUMBER($I12)),"◆","")</f>
        <v/>
      </c>
      <c r="AS12" s="57" t="str">
        <f aca="false">IF(AND(AS$7=$I12,ISNUMBER($I12)),"◆","")</f>
        <v/>
      </c>
      <c r="AT12" s="57" t="str">
        <f aca="false">IF(AND(AT$7=$I12,ISNUMBER($I12)),"◆","")</f>
        <v/>
      </c>
      <c r="AU12" s="57" t="str">
        <f aca="false">IF(AND(AU$7=$I12,ISNUMBER($I12)),"◆","")</f>
        <v/>
      </c>
      <c r="AV12" s="57" t="str">
        <f aca="false">IF(AND(AV$7=$I12,ISNUMBER($I12)),"◆","")</f>
        <v/>
      </c>
      <c r="AW12" s="57" t="str">
        <f aca="false">IF(AND(AW$7=$I12,ISNUMBER($I12)),"◆","")</f>
        <v/>
      </c>
      <c r="AX12" s="57" t="str">
        <f aca="false">IF(AND(AX$7=$I12,ISNUMBER($I12)),"◆","")</f>
        <v/>
      </c>
      <c r="AY12" s="57" t="str">
        <f aca="false">IF(AND(AY$7=$I12,ISNUMBER($I12)),"◆","")</f>
        <v/>
      </c>
      <c r="AZ12" s="57" t="str">
        <f aca="false">IF(AND(AZ$7=$I12,ISNUMBER($I12)),"◆","")</f>
        <v/>
      </c>
      <c r="BA12" s="57" t="str">
        <f aca="false">IF(AND(BA$7=$I12,ISNUMBER($I12)),"◆","")</f>
        <v/>
      </c>
      <c r="BB12" s="57" t="str">
        <f aca="false">IF(AND(BB$7=$I12,ISNUMBER($I12)),"◆","")</f>
        <v/>
      </c>
      <c r="BC12" s="57" t="str">
        <f aca="false">IF(AND(BC$7=$I12,ISNUMBER($I12)),"◆","")</f>
        <v/>
      </c>
      <c r="BD12" s="57" t="str">
        <f aca="false">IF(AND(BD$7=$I12,ISNUMBER($I12)),"◆","")</f>
        <v/>
      </c>
      <c r="BE12" s="57" t="str">
        <f aca="false">IF(AND(BE$7=$I12,ISNUMBER($I12)),"◆","")</f>
        <v/>
      </c>
      <c r="BF12" s="57" t="str">
        <f aca="false">IF(AND(BF$7=$I12,ISNUMBER($I12)),"◆","")</f>
        <v/>
      </c>
      <c r="BG12" s="57" t="str">
        <f aca="false">IF(AND(BG$7=$I12,ISNUMBER($I12)),"◆","")</f>
        <v/>
      </c>
      <c r="BH12" s="57" t="str">
        <f aca="false">IF(AND(BH$7=$I12,ISNUMBER($I12)),"◆","")</f>
        <v/>
      </c>
      <c r="BI12" s="57" t="str">
        <f aca="false">IF(AND(BI$7=$I12,ISNUMBER($I12)),"◆","")</f>
        <v/>
      </c>
      <c r="BJ12" s="57" t="str">
        <f aca="false">IF(AND(BJ$7=$I12,ISNUMBER($I12)),"◆","")</f>
        <v/>
      </c>
      <c r="BK12" s="57" t="str">
        <f aca="false">IF(AND(BK$7=$I12,ISNUMBER($I12)),"◆","")</f>
        <v/>
      </c>
      <c r="BL12" s="57" t="str">
        <f aca="false">IF(AND(BL$7=$I12,ISNUMBER($I12)),"◆","")</f>
        <v/>
      </c>
      <c r="BM12" s="57" t="str">
        <f aca="false">IF(AND(BM$7=$I12,ISNUMBER($I12)),"◆","")</f>
        <v/>
      </c>
      <c r="BN12" s="57" t="str">
        <f aca="false">IF(AND(BN$7=$I12,ISNUMBER($I12)),"◆","")</f>
        <v/>
      </c>
      <c r="BO12" s="57" t="str">
        <f aca="false">IF(AND(BO$7=$I12,ISNUMBER($I12)),"◆","")</f>
        <v/>
      </c>
      <c r="BP12" s="57" t="str">
        <f aca="false">IF(AND(BP$7=$I12,ISNUMBER($I12)),"◆","")</f>
        <v/>
      </c>
      <c r="BQ12" s="57" t="str">
        <f aca="false">IF(AND(BQ$7=$I12,ISNUMBER($I12)),"◆","")</f>
        <v/>
      </c>
      <c r="BR12" s="57" t="str">
        <f aca="false">IF(AND(BR$7=$I12,ISNUMBER($I12)),"◆","")</f>
        <v/>
      </c>
      <c r="BS12" s="57" t="str">
        <f aca="false">IF(AND(BS$7=$I12,ISNUMBER($I12)),"◆","")</f>
        <v/>
      </c>
      <c r="BT12" s="57" t="str">
        <f aca="false">IF(AND(BT$7=$I12,ISNUMBER($I12)),"◆","")</f>
        <v/>
      </c>
      <c r="BU12" s="57" t="str">
        <f aca="false">IF(AND(BU$7=$I12,ISNUMBER($I12)),"◆","")</f>
        <v/>
      </c>
      <c r="BV12" s="57" t="str">
        <f aca="false">IF(AND(BV$7=$I12,ISNUMBER($I12)),"◆","")</f>
        <v/>
      </c>
      <c r="BW12" s="57" t="str">
        <f aca="false">IF(AND(BW$7=$I12,ISNUMBER($I12)),"◆","")</f>
        <v/>
      </c>
      <c r="BX12" s="57" t="str">
        <f aca="false">IF(AND(BX$7=$I12,ISNUMBER($I12)),"◆","")</f>
        <v/>
      </c>
      <c r="BY12" s="57" t="str">
        <f aca="false">IF(AND(BY$7=$I12,ISNUMBER($I12)),"◆","")</f>
        <v/>
      </c>
      <c r="BZ12" s="57" t="str">
        <f aca="false">IF(AND(BZ$7=$I12,ISNUMBER($I12)),"◆","")</f>
        <v/>
      </c>
      <c r="CA12" s="57" t="str">
        <f aca="false">IF(AND(CA$7=$I12,ISNUMBER($I12)),"◆","")</f>
        <v/>
      </c>
      <c r="CB12" s="57" t="str">
        <f aca="false">IF(AND(CB$7=$I12,ISNUMBER($I12)),"◆","")</f>
        <v/>
      </c>
      <c r="CC12" s="57" t="str">
        <f aca="false">IF(AND(CC$7=$I12,ISNUMBER($I12)),"◆","")</f>
        <v/>
      </c>
      <c r="CD12" s="57" t="str">
        <f aca="false">IF(AND(CD$7=$I12,ISNUMBER($I12)),"◆","")</f>
        <v/>
      </c>
      <c r="CE12" s="57" t="str">
        <f aca="false">IF(AND(CE$7=$I12,ISNUMBER($I12)),"◆","")</f>
        <v/>
      </c>
      <c r="CF12" s="57" t="str">
        <f aca="false">IF(AND(CF$7=$I12,ISNUMBER($I12)),"◆","")</f>
        <v/>
      </c>
      <c r="CG12" s="57" t="str">
        <f aca="false">IF(AND(CG$7=$I12,ISNUMBER($I12)),"◆","")</f>
        <v/>
      </c>
      <c r="CH12" s="57" t="str">
        <f aca="false">IF(AND(CH$7=$I12,ISNUMBER($I12)),"◆","")</f>
        <v/>
      </c>
      <c r="CI12" s="57" t="str">
        <f aca="false">IF(AND(CI$7=$I12,ISNUMBER($I12)),"◆","")</f>
        <v/>
      </c>
      <c r="CJ12" s="57" t="str">
        <f aca="false">IF(AND(CJ$7=$I12,ISNUMBER($I12)),"◆","")</f>
        <v/>
      </c>
      <c r="CK12" s="57" t="str">
        <f aca="false">IF(AND(CK$7=$I12,ISNUMBER($I12)),"◆","")</f>
        <v/>
      </c>
      <c r="CL12" s="57" t="str">
        <f aca="false">IF(AND(CL$7=$I12,ISNUMBER($I12)),"◆","")</f>
        <v/>
      </c>
      <c r="CM12" s="57" t="str">
        <f aca="false">IF(AND(CM$7=$I12,ISNUMBER($I12)),"◆","")</f>
        <v/>
      </c>
      <c r="CN12" s="57" t="str">
        <f aca="false">IF(AND(CN$7=$I12,ISNUMBER($I12)),"◆","")</f>
        <v/>
      </c>
      <c r="CO12" s="57" t="str">
        <f aca="false">IF(AND(CO$7=$I12,ISNUMBER($I12)),"◆","")</f>
        <v/>
      </c>
      <c r="CP12" s="57" t="str">
        <f aca="false">IF(AND(CP$7=$I12,ISNUMBER($I12)),"◆","")</f>
        <v/>
      </c>
      <c r="CQ12" s="57" t="str">
        <f aca="false">IF(AND(CQ$7=$I12,ISNUMBER($I12)),"◆","")</f>
        <v/>
      </c>
      <c r="CR12" s="57" t="str">
        <f aca="false">IF(AND(CR$7=$I12,ISNUMBER($I12)),"◆","")</f>
        <v/>
      </c>
      <c r="CS12" s="57" t="str">
        <f aca="false">IF(AND(CS$7=$I12,ISNUMBER($I12)),"◆","")</f>
        <v/>
      </c>
      <c r="CT12" s="57" t="str">
        <f aca="false">IF(AND(CT$7=$I12,ISNUMBER($I12)),"◆","")</f>
        <v/>
      </c>
      <c r="CU12" s="57" t="str">
        <f aca="false">IF(AND(CU$7=$I12,ISNUMBER($I12)),"◆","")</f>
        <v/>
      </c>
      <c r="CV12" s="57" t="str">
        <f aca="false">IF(AND(CV$7=$I12,ISNUMBER($I12)),"◆","")</f>
        <v/>
      </c>
      <c r="CW12" s="57" t="str">
        <f aca="false">IF(AND(CW$7=$I12,ISNUMBER($I12)),"◆","")</f>
        <v/>
      </c>
      <c r="CX12" s="57" t="str">
        <f aca="false">IF(AND(CX$7=$I12,ISNUMBER($I12)),"◆","")</f>
        <v/>
      </c>
      <c r="CY12" s="57" t="str">
        <f aca="false">IF(AND(CY$7=$I12,ISNUMBER($I12)),"◆","")</f>
        <v/>
      </c>
      <c r="CZ12" s="57" t="str">
        <f aca="false">IF(AND(CZ$7=$I12,ISNUMBER($I12)),"◆","")</f>
        <v/>
      </c>
      <c r="DA12" s="57" t="str">
        <f aca="false">IF(AND(DA$7=$I12,ISNUMBER($I12)),"◆","")</f>
        <v/>
      </c>
      <c r="DB12" s="57" t="str">
        <f aca="false">IF(AND(DB$7=$I12,ISNUMBER($I12)),"◆","")</f>
        <v/>
      </c>
      <c r="DC12" s="57" t="str">
        <f aca="false">IF(AND(DC$7=$I12,ISNUMBER($I12)),"◆","")</f>
        <v/>
      </c>
      <c r="DD12" s="57" t="str">
        <f aca="false">IF(AND(DD$7=$I12,ISNUMBER($I12)),"◆","")</f>
        <v/>
      </c>
      <c r="DE12" s="57" t="str">
        <f aca="false">IF(AND(DE$7=$I12,ISNUMBER($I12)),"◆","")</f>
        <v/>
      </c>
      <c r="DF12" s="57" t="str">
        <f aca="false">IF(AND(DF$7=$I12,ISNUMBER($I12)),"◆","")</f>
        <v/>
      </c>
      <c r="DG12" s="57" t="str">
        <f aca="false">IF(AND(DG$7=$I12,ISNUMBER($I12)),"◆","")</f>
        <v/>
      </c>
      <c r="DH12" s="57" t="str">
        <f aca="false">IF(AND(DH$7=$I12,ISNUMBER($I12)),"◆","")</f>
        <v/>
      </c>
      <c r="DI12" s="57" t="str">
        <f aca="false">IF(AND(DI$7=$I12,ISNUMBER($I12)),"◆","")</f>
        <v/>
      </c>
      <c r="DJ12" s="57" t="str">
        <f aca="false">IF(AND(DJ$7=$I12,ISNUMBER($I12)),"◆","")</f>
        <v/>
      </c>
      <c r="DK12" s="57" t="str">
        <f aca="false">IF(AND(DK$7=$I12,ISNUMBER($I12)),"◆","")</f>
        <v/>
      </c>
      <c r="DL12" s="57" t="str">
        <f aca="false">IF(AND(DL$7=$I12,ISNUMBER($I12)),"◆","")</f>
        <v/>
      </c>
      <c r="DM12" s="57" t="str">
        <f aca="false">IF(AND(DM$7=$I12,ISNUMBER($I12)),"◆","")</f>
        <v/>
      </c>
      <c r="DN12" s="57" t="str">
        <f aca="false">IF(AND(DN$7=$I12,ISNUMBER($I12)),"◆","")</f>
        <v/>
      </c>
      <c r="DO12" s="57" t="str">
        <f aca="false">IF(AND(DO$7=$I12,ISNUMBER($I12)),"◆","")</f>
        <v/>
      </c>
      <c r="DP12" s="57" t="str">
        <f aca="false">IF(AND(DP$7=$I12,ISNUMBER($I12)),"◆","")</f>
        <v/>
      </c>
      <c r="DQ12" s="57" t="str">
        <f aca="false">IF(AND(DQ$7=$I12,ISNUMBER($I12)),"◆","")</f>
        <v/>
      </c>
      <c r="DR12" s="57" t="str">
        <f aca="false">IF(AND(DR$7=$I12,ISNUMBER($I12)),"◆","")</f>
        <v/>
      </c>
      <c r="DS12" s="57" t="str">
        <f aca="false">IF(AND(DS$7=$I12,ISNUMBER($I12)),"◆","")</f>
        <v/>
      </c>
      <c r="DT12" s="57" t="str">
        <f aca="false">IF(AND(DT$7=$I12,ISNUMBER($I12)),"◆","")</f>
        <v/>
      </c>
      <c r="DU12" s="57" t="str">
        <f aca="false">IF(AND(DU$7=$I12,ISNUMBER($I12)),"◆","")</f>
        <v/>
      </c>
      <c r="DV12" s="57" t="str">
        <f aca="false">IF(AND(DV$7=$I12,ISNUMBER($I12)),"◆","")</f>
        <v/>
      </c>
      <c r="DW12" s="57" t="str">
        <f aca="false">IF(AND(DW$7=$I12,ISNUMBER($I12)),"◆","")</f>
        <v/>
      </c>
      <c r="DX12" s="57" t="str">
        <f aca="false">IF(AND(DX$7=$I12,ISNUMBER($I12)),"◆","")</f>
        <v/>
      </c>
      <c r="DY12" s="57" t="str">
        <f aca="false">IF(AND(DY$7=$I12,ISNUMBER($I12)),"◆","")</f>
        <v/>
      </c>
      <c r="DZ12" s="57" t="str">
        <f aca="false">IF(AND(DZ$7=$I12,ISNUMBER($I12)),"◆","")</f>
        <v/>
      </c>
      <c r="EA12" s="57" t="str">
        <f aca="false">IF(AND(EA$7=$I12,ISNUMBER($I12)),"◆","")</f>
        <v/>
      </c>
      <c r="EB12" s="57" t="str">
        <f aca="false">IF(AND(EB$7=$I12,ISNUMBER($I12)),"◆","")</f>
        <v/>
      </c>
      <c r="EC12" s="57" t="str">
        <f aca="false">IF(AND(EC$7=$I12,ISNUMBER($I12)),"◆","")</f>
        <v/>
      </c>
      <c r="ED12" s="57" t="str">
        <f aca="false">IF(AND(ED$7=$I12,ISNUMBER($I12)),"◆","")</f>
        <v/>
      </c>
      <c r="EE12" s="57" t="str">
        <f aca="false">IF(AND(EE$7=$I12,ISNUMBER($I12)),"◆","")</f>
        <v/>
      </c>
      <c r="EF12" s="57" t="str">
        <f aca="false">IF(AND(EF$7=$I12,ISNUMBER($I12)),"◆","")</f>
        <v/>
      </c>
      <c r="EG12" s="57" t="str">
        <f aca="false">IF(AND(EG$7=$I12,ISNUMBER($I12)),"◆","")</f>
        <v/>
      </c>
      <c r="EH12" s="57" t="str">
        <f aca="false">IF(AND(EH$7=$I12,ISNUMBER($I12)),"◆","")</f>
        <v/>
      </c>
      <c r="EI12" s="57" t="str">
        <f aca="false">IF(AND(EI$7=$I12,ISNUMBER($I12)),"◆","")</f>
        <v/>
      </c>
      <c r="EJ12" s="57" t="str">
        <f aca="false">IF(AND(EJ$7=$I12,ISNUMBER($I12)),"◆","")</f>
        <v/>
      </c>
      <c r="EK12" s="57" t="str">
        <f aca="false">IF(AND(EK$7=$I12,ISNUMBER($I12)),"◆","")</f>
        <v/>
      </c>
      <c r="EL12" s="57" t="str">
        <f aca="false">IF(AND(EL$7=$I12,ISNUMBER($I12)),"◆","")</f>
        <v/>
      </c>
      <c r="EM12" s="57" t="str">
        <f aca="false">IF(AND(EM$7=$I12,ISNUMBER($I12)),"◆","")</f>
        <v/>
      </c>
      <c r="EN12" s="57" t="str">
        <f aca="false">IF(AND(EN$7=$I12,ISNUMBER($I12)),"◆","")</f>
        <v/>
      </c>
      <c r="EO12" s="57" t="str">
        <f aca="false">IF(AND(EO$7=$I12,ISNUMBER($I12)),"◆","")</f>
        <v/>
      </c>
      <c r="EP12" s="57" t="str">
        <f aca="false">IF(AND(EP$7=$I12,ISNUMBER($I12)),"◆","")</f>
        <v/>
      </c>
      <c r="EQ12" s="57" t="str">
        <f aca="false">IF(AND(EQ$7=$I12,ISNUMBER($I12)),"◆","")</f>
        <v/>
      </c>
      <c r="ER12" s="57" t="str">
        <f aca="false">IF(AND(ER$7=$I12,ISNUMBER($I12)),"◆","")</f>
        <v/>
      </c>
      <c r="ES12" s="57" t="str">
        <f aca="false">IF(AND(ES$7=$I12,ISNUMBER($I12)),"◆","")</f>
        <v/>
      </c>
      <c r="ET12" s="57" t="str">
        <f aca="false">IF(AND(ET$7=$I12,ISNUMBER($I12)),"◆","")</f>
        <v/>
      </c>
      <c r="EU12" s="57" t="str">
        <f aca="false">IF(AND(EU$7=$I12,ISNUMBER($I12)),"◆","")</f>
        <v/>
      </c>
      <c r="EV12" s="57" t="str">
        <f aca="false">IF(AND(EV$7=$I12,ISNUMBER($I12)),"◆","")</f>
        <v/>
      </c>
      <c r="EW12" s="57" t="str">
        <f aca="false">IF(AND(EW$7=$I12,ISNUMBER($I12)),"◆","")</f>
        <v/>
      </c>
      <c r="EX12" s="57" t="str">
        <f aca="false">IF(AND(EX$7=$I12,ISNUMBER($I12)),"◆","")</f>
        <v/>
      </c>
      <c r="EY12" s="57" t="str">
        <f aca="false">IF(AND(EY$7=$I12,ISNUMBER($I12)),"◆","")</f>
        <v/>
      </c>
      <c r="EZ12" s="57" t="str">
        <f aca="false">IF(AND(EZ$7=$I12,ISNUMBER($I12)),"◆","")</f>
        <v/>
      </c>
      <c r="FA12" s="57" t="str">
        <f aca="false">IF(AND(FA$7=$I12,ISNUMBER($I12)),"◆","")</f>
        <v/>
      </c>
      <c r="FB12" s="57" t="str">
        <f aca="false">IF(AND(FB$7=$I12,ISNUMBER($I12)),"◆","")</f>
        <v/>
      </c>
      <c r="FC12" s="57" t="str">
        <f aca="false">IF(AND(FC$7=$I12,ISNUMBER($I12)),"◆","")</f>
        <v/>
      </c>
      <c r="FD12" s="57" t="str">
        <f aca="false">IF(AND(FD$7=$I12,ISNUMBER($I12)),"◆","")</f>
        <v/>
      </c>
      <c r="FE12" s="57" t="str">
        <f aca="false">IF(AND(FE$7=$I12,ISNUMBER($I12)),"◆","")</f>
        <v/>
      </c>
      <c r="FF12" s="57" t="str">
        <f aca="false">IF(AND(FF$7=$I12,ISNUMBER($I12)),"◆","")</f>
        <v/>
      </c>
      <c r="FG12" s="57" t="str">
        <f aca="false">IF(AND(FG$7=$I12,ISNUMBER($I12)),"◆","")</f>
        <v/>
      </c>
      <c r="FH12" s="57" t="str">
        <f aca="false">IF(AND(FH$7=$I12,ISNUMBER($I12)),"◆","")</f>
        <v/>
      </c>
      <c r="FI12" s="57" t="str">
        <f aca="false">IF(AND(FI$7=$I12,ISNUMBER($I12)),"◆","")</f>
        <v/>
      </c>
      <c r="FJ12" s="57" t="str">
        <f aca="false">IF(AND(FJ$7=$I12,ISNUMBER($I12)),"◆","")</f>
        <v/>
      </c>
      <c r="FK12" s="57" t="str">
        <f aca="false">IF(AND(FK$7=$I12,ISNUMBER($I12)),"◆","")</f>
        <v/>
      </c>
      <c r="FL12" s="57" t="str">
        <f aca="false">IF(AND(FL$7=$I12,ISNUMBER($I12)),"◆","")</f>
        <v/>
      </c>
      <c r="FM12" s="57" t="str">
        <f aca="false">IF(AND(FM$7=$I12,ISNUMBER($I12)),"◆","")</f>
        <v/>
      </c>
      <c r="FN12" s="57" t="str">
        <f aca="false">IF(AND(FN$7=$I12,ISNUMBER($I12)),"◆","")</f>
        <v/>
      </c>
      <c r="FO12" s="57" t="str">
        <f aca="false">IF(AND(FO$7=$I12,ISNUMBER($I12)),"◆","")</f>
        <v/>
      </c>
      <c r="FP12" s="57" t="str">
        <f aca="false">IF(AND(FP$7=$I12,ISNUMBER($I12)),"◆","")</f>
        <v/>
      </c>
      <c r="FQ12" s="57" t="str">
        <f aca="false">IF(AND(FQ$7=$I12,ISNUMBER($I12)),"◆","")</f>
        <v/>
      </c>
      <c r="FR12" s="57" t="str">
        <f aca="false">IF(AND(FR$7=$I12,ISNUMBER($I12)),"◆","")</f>
        <v/>
      </c>
      <c r="FS12" s="57" t="str">
        <f aca="false">IF(AND(FS$7=$I12,ISNUMBER($I12)),"◆","")</f>
        <v/>
      </c>
      <c r="FT12" s="57" t="str">
        <f aca="false">IF(AND(FT$7=$I12,ISNUMBER($I12)),"◆","")</f>
        <v/>
      </c>
      <c r="FU12" s="57" t="str">
        <f aca="false">IF(AND(FU$7=$I12,ISNUMBER($I12)),"◆","")</f>
        <v/>
      </c>
      <c r="FV12" s="57" t="str">
        <f aca="false">IF(AND(FV$7=$I12,ISNUMBER($I12)),"◆","")</f>
        <v/>
      </c>
    </row>
    <row r="13" customFormat="false" ht="25.5" hidden="false" customHeight="true" outlineLevel="0" collapsed="false">
      <c r="A13" s="50" t="str">
        <f aca="false">制作工程表!A11</f>
        <v>T03</v>
      </c>
      <c r="B13" s="51" t="str">
        <f aca="false">制作工程表!B11</f>
        <v>企画確認</v>
      </c>
      <c r="C13" s="52" t="str">
        <f aca="false">制作工程表!C11</f>
        <v>構成案のご確認</v>
      </c>
      <c r="D13" s="53" t="str">
        <f aca="false">制作工程表!D11</f>
        <v>広報窓口</v>
      </c>
      <c r="E13" s="53" t="str">
        <f aca="false">制作工程表!E11</f>
        <v>代表・技術営業課</v>
      </c>
      <c r="F13" s="54" t="str">
        <f aca="false">IF(制作工程表!B11="取材撮影","撮影",IF(OR(制作工程表!D11="広報窓口",制作工程表!D11="代表",制作工程表!D11="技術営業課",制作工程表!D11="品質管理課",制作工程表!D11="製造部"),"企業","制作"))</f>
        <v>企業</v>
      </c>
      <c r="G13" s="55" t="n">
        <f aca="false">制作工程表!G11</f>
        <v>46339</v>
      </c>
      <c r="H13" s="55" t="n">
        <f aca="false">制作工程表!H11</f>
        <v>46350</v>
      </c>
      <c r="I13" s="56" t="n">
        <f aca="false">制作工程表!I11</f>
        <v>46350</v>
      </c>
      <c r="J13" s="51" t="str">
        <f aca="false">制作工程表!K11</f>
        <v>未着手</v>
      </c>
      <c r="K13" s="57" t="str">
        <f aca="false">IF(AND(K$7=$I13,ISNUMBER($I13)),"◆","")</f>
        <v/>
      </c>
      <c r="L13" s="57" t="str">
        <f aca="false">IF(AND(L$7=$I13,ISNUMBER($I13)),"◆","")</f>
        <v/>
      </c>
      <c r="M13" s="57" t="str">
        <f aca="false">IF(AND(M$7=$I13,ISNUMBER($I13)),"◆","")</f>
        <v/>
      </c>
      <c r="N13" s="57" t="str">
        <f aca="false">IF(AND(N$7=$I13,ISNUMBER($I13)),"◆","")</f>
        <v/>
      </c>
      <c r="O13" s="57" t="str">
        <f aca="false">IF(AND(O$7=$I13,ISNUMBER($I13)),"◆","")</f>
        <v/>
      </c>
      <c r="P13" s="57" t="str">
        <f aca="false">IF(AND(P$7=$I13,ISNUMBER($I13)),"◆","")</f>
        <v/>
      </c>
      <c r="Q13" s="57" t="str">
        <f aca="false">IF(AND(Q$7=$I13,ISNUMBER($I13)),"◆","")</f>
        <v/>
      </c>
      <c r="R13" s="57" t="str">
        <f aca="false">IF(AND(R$7=$I13,ISNUMBER($I13)),"◆","")</f>
        <v/>
      </c>
      <c r="S13" s="57" t="str">
        <f aca="false">IF(AND(S$7=$I13,ISNUMBER($I13)),"◆","")</f>
        <v/>
      </c>
      <c r="T13" s="57" t="str">
        <f aca="false">IF(AND(T$7=$I13,ISNUMBER($I13)),"◆","")</f>
        <v/>
      </c>
      <c r="U13" s="57" t="str">
        <f aca="false">IF(AND(U$7=$I13,ISNUMBER($I13)),"◆","")</f>
        <v/>
      </c>
      <c r="V13" s="57" t="str">
        <f aca="false">IF(AND(V$7=$I13,ISNUMBER($I13)),"◆","")</f>
        <v/>
      </c>
      <c r="W13" s="57" t="str">
        <f aca="false">IF(AND(W$7=$I13,ISNUMBER($I13)),"◆","")</f>
        <v/>
      </c>
      <c r="X13" s="57" t="str">
        <f aca="false">IF(AND(X$7=$I13,ISNUMBER($I13)),"◆","")</f>
        <v/>
      </c>
      <c r="Y13" s="57" t="str">
        <f aca="false">IF(AND(Y$7=$I13,ISNUMBER($I13)),"◆","")</f>
        <v/>
      </c>
      <c r="Z13" s="57" t="str">
        <f aca="false">IF(AND(Z$7=$I13,ISNUMBER($I13)),"◆","")</f>
        <v/>
      </c>
      <c r="AA13" s="57" t="str">
        <f aca="false">IF(AND(AA$7=$I13,ISNUMBER($I13)),"◆","")</f>
        <v/>
      </c>
      <c r="AB13" s="57" t="str">
        <f aca="false">IF(AND(AB$7=$I13,ISNUMBER($I13)),"◆","")</f>
        <v/>
      </c>
      <c r="AC13" s="57" t="str">
        <f aca="false">IF(AND(AC$7=$I13,ISNUMBER($I13)),"◆","")</f>
        <v/>
      </c>
      <c r="AD13" s="57" t="str">
        <f aca="false">IF(AND(AD$7=$I13,ISNUMBER($I13)),"◆","")</f>
        <v/>
      </c>
      <c r="AE13" s="57" t="str">
        <f aca="false">IF(AND(AE$7=$I13,ISNUMBER($I13)),"◆","")</f>
        <v/>
      </c>
      <c r="AF13" s="57" t="str">
        <f aca="false">IF(AND(AF$7=$I13,ISNUMBER($I13)),"◆","")</f>
        <v/>
      </c>
      <c r="AG13" s="57" t="str">
        <f aca="false">IF(AND(AG$7=$I13,ISNUMBER($I13)),"◆","")</f>
        <v>◆</v>
      </c>
      <c r="AH13" s="57" t="str">
        <f aca="false">IF(AND(AH$7=$I13,ISNUMBER($I13)),"◆","")</f>
        <v/>
      </c>
      <c r="AI13" s="57" t="str">
        <f aca="false">IF(AND(AI$7=$I13,ISNUMBER($I13)),"◆","")</f>
        <v/>
      </c>
      <c r="AJ13" s="57" t="str">
        <f aca="false">IF(AND(AJ$7=$I13,ISNUMBER($I13)),"◆","")</f>
        <v/>
      </c>
      <c r="AK13" s="57" t="str">
        <f aca="false">IF(AND(AK$7=$I13,ISNUMBER($I13)),"◆","")</f>
        <v/>
      </c>
      <c r="AL13" s="57" t="str">
        <f aca="false">IF(AND(AL$7=$I13,ISNUMBER($I13)),"◆","")</f>
        <v/>
      </c>
      <c r="AM13" s="57" t="str">
        <f aca="false">IF(AND(AM$7=$I13,ISNUMBER($I13)),"◆","")</f>
        <v/>
      </c>
      <c r="AN13" s="57" t="str">
        <f aca="false">IF(AND(AN$7=$I13,ISNUMBER($I13)),"◆","")</f>
        <v/>
      </c>
      <c r="AO13" s="57" t="str">
        <f aca="false">IF(AND(AO$7=$I13,ISNUMBER($I13)),"◆","")</f>
        <v/>
      </c>
      <c r="AP13" s="57" t="str">
        <f aca="false">IF(AND(AP$7=$I13,ISNUMBER($I13)),"◆","")</f>
        <v/>
      </c>
      <c r="AQ13" s="57" t="str">
        <f aca="false">IF(AND(AQ$7=$I13,ISNUMBER($I13)),"◆","")</f>
        <v/>
      </c>
      <c r="AR13" s="57" t="str">
        <f aca="false">IF(AND(AR$7=$I13,ISNUMBER($I13)),"◆","")</f>
        <v/>
      </c>
      <c r="AS13" s="57" t="str">
        <f aca="false">IF(AND(AS$7=$I13,ISNUMBER($I13)),"◆","")</f>
        <v/>
      </c>
      <c r="AT13" s="57" t="str">
        <f aca="false">IF(AND(AT$7=$I13,ISNUMBER($I13)),"◆","")</f>
        <v/>
      </c>
      <c r="AU13" s="57" t="str">
        <f aca="false">IF(AND(AU$7=$I13,ISNUMBER($I13)),"◆","")</f>
        <v/>
      </c>
      <c r="AV13" s="57" t="str">
        <f aca="false">IF(AND(AV$7=$I13,ISNUMBER($I13)),"◆","")</f>
        <v/>
      </c>
      <c r="AW13" s="57" t="str">
        <f aca="false">IF(AND(AW$7=$I13,ISNUMBER($I13)),"◆","")</f>
        <v/>
      </c>
      <c r="AX13" s="57" t="str">
        <f aca="false">IF(AND(AX$7=$I13,ISNUMBER($I13)),"◆","")</f>
        <v/>
      </c>
      <c r="AY13" s="57" t="str">
        <f aca="false">IF(AND(AY$7=$I13,ISNUMBER($I13)),"◆","")</f>
        <v/>
      </c>
      <c r="AZ13" s="57" t="str">
        <f aca="false">IF(AND(AZ$7=$I13,ISNUMBER($I13)),"◆","")</f>
        <v/>
      </c>
      <c r="BA13" s="57" t="str">
        <f aca="false">IF(AND(BA$7=$I13,ISNUMBER($I13)),"◆","")</f>
        <v/>
      </c>
      <c r="BB13" s="57" t="str">
        <f aca="false">IF(AND(BB$7=$I13,ISNUMBER($I13)),"◆","")</f>
        <v/>
      </c>
      <c r="BC13" s="57" t="str">
        <f aca="false">IF(AND(BC$7=$I13,ISNUMBER($I13)),"◆","")</f>
        <v/>
      </c>
      <c r="BD13" s="57" t="str">
        <f aca="false">IF(AND(BD$7=$I13,ISNUMBER($I13)),"◆","")</f>
        <v/>
      </c>
      <c r="BE13" s="57" t="str">
        <f aca="false">IF(AND(BE$7=$I13,ISNUMBER($I13)),"◆","")</f>
        <v/>
      </c>
      <c r="BF13" s="57" t="str">
        <f aca="false">IF(AND(BF$7=$I13,ISNUMBER($I13)),"◆","")</f>
        <v/>
      </c>
      <c r="BG13" s="57" t="str">
        <f aca="false">IF(AND(BG$7=$I13,ISNUMBER($I13)),"◆","")</f>
        <v/>
      </c>
      <c r="BH13" s="57" t="str">
        <f aca="false">IF(AND(BH$7=$I13,ISNUMBER($I13)),"◆","")</f>
        <v/>
      </c>
      <c r="BI13" s="57" t="str">
        <f aca="false">IF(AND(BI$7=$I13,ISNUMBER($I13)),"◆","")</f>
        <v/>
      </c>
      <c r="BJ13" s="57" t="str">
        <f aca="false">IF(AND(BJ$7=$I13,ISNUMBER($I13)),"◆","")</f>
        <v/>
      </c>
      <c r="BK13" s="57" t="str">
        <f aca="false">IF(AND(BK$7=$I13,ISNUMBER($I13)),"◆","")</f>
        <v/>
      </c>
      <c r="BL13" s="57" t="str">
        <f aca="false">IF(AND(BL$7=$I13,ISNUMBER($I13)),"◆","")</f>
        <v/>
      </c>
      <c r="BM13" s="57" t="str">
        <f aca="false">IF(AND(BM$7=$I13,ISNUMBER($I13)),"◆","")</f>
        <v/>
      </c>
      <c r="BN13" s="57" t="str">
        <f aca="false">IF(AND(BN$7=$I13,ISNUMBER($I13)),"◆","")</f>
        <v/>
      </c>
      <c r="BO13" s="57" t="str">
        <f aca="false">IF(AND(BO$7=$I13,ISNUMBER($I13)),"◆","")</f>
        <v/>
      </c>
      <c r="BP13" s="57" t="str">
        <f aca="false">IF(AND(BP$7=$I13,ISNUMBER($I13)),"◆","")</f>
        <v/>
      </c>
      <c r="BQ13" s="57" t="str">
        <f aca="false">IF(AND(BQ$7=$I13,ISNUMBER($I13)),"◆","")</f>
        <v/>
      </c>
      <c r="BR13" s="57" t="str">
        <f aca="false">IF(AND(BR$7=$I13,ISNUMBER($I13)),"◆","")</f>
        <v/>
      </c>
      <c r="BS13" s="57" t="str">
        <f aca="false">IF(AND(BS$7=$I13,ISNUMBER($I13)),"◆","")</f>
        <v/>
      </c>
      <c r="BT13" s="57" t="str">
        <f aca="false">IF(AND(BT$7=$I13,ISNUMBER($I13)),"◆","")</f>
        <v/>
      </c>
      <c r="BU13" s="57" t="str">
        <f aca="false">IF(AND(BU$7=$I13,ISNUMBER($I13)),"◆","")</f>
        <v/>
      </c>
      <c r="BV13" s="57" t="str">
        <f aca="false">IF(AND(BV$7=$I13,ISNUMBER($I13)),"◆","")</f>
        <v/>
      </c>
      <c r="BW13" s="57" t="str">
        <f aca="false">IF(AND(BW$7=$I13,ISNUMBER($I13)),"◆","")</f>
        <v/>
      </c>
      <c r="BX13" s="57" t="str">
        <f aca="false">IF(AND(BX$7=$I13,ISNUMBER($I13)),"◆","")</f>
        <v/>
      </c>
      <c r="BY13" s="57" t="str">
        <f aca="false">IF(AND(BY$7=$I13,ISNUMBER($I13)),"◆","")</f>
        <v/>
      </c>
      <c r="BZ13" s="57" t="str">
        <f aca="false">IF(AND(BZ$7=$I13,ISNUMBER($I13)),"◆","")</f>
        <v/>
      </c>
      <c r="CA13" s="57" t="str">
        <f aca="false">IF(AND(CA$7=$I13,ISNUMBER($I13)),"◆","")</f>
        <v/>
      </c>
      <c r="CB13" s="57" t="str">
        <f aca="false">IF(AND(CB$7=$I13,ISNUMBER($I13)),"◆","")</f>
        <v/>
      </c>
      <c r="CC13" s="57" t="str">
        <f aca="false">IF(AND(CC$7=$I13,ISNUMBER($I13)),"◆","")</f>
        <v/>
      </c>
      <c r="CD13" s="57" t="str">
        <f aca="false">IF(AND(CD$7=$I13,ISNUMBER($I13)),"◆","")</f>
        <v/>
      </c>
      <c r="CE13" s="57" t="str">
        <f aca="false">IF(AND(CE$7=$I13,ISNUMBER($I13)),"◆","")</f>
        <v/>
      </c>
      <c r="CF13" s="57" t="str">
        <f aca="false">IF(AND(CF$7=$I13,ISNUMBER($I13)),"◆","")</f>
        <v/>
      </c>
      <c r="CG13" s="57" t="str">
        <f aca="false">IF(AND(CG$7=$I13,ISNUMBER($I13)),"◆","")</f>
        <v/>
      </c>
      <c r="CH13" s="57" t="str">
        <f aca="false">IF(AND(CH$7=$I13,ISNUMBER($I13)),"◆","")</f>
        <v/>
      </c>
      <c r="CI13" s="57" t="str">
        <f aca="false">IF(AND(CI$7=$I13,ISNUMBER($I13)),"◆","")</f>
        <v/>
      </c>
      <c r="CJ13" s="57" t="str">
        <f aca="false">IF(AND(CJ$7=$I13,ISNUMBER($I13)),"◆","")</f>
        <v/>
      </c>
      <c r="CK13" s="57" t="str">
        <f aca="false">IF(AND(CK$7=$I13,ISNUMBER($I13)),"◆","")</f>
        <v/>
      </c>
      <c r="CL13" s="57" t="str">
        <f aca="false">IF(AND(CL$7=$I13,ISNUMBER($I13)),"◆","")</f>
        <v/>
      </c>
      <c r="CM13" s="57" t="str">
        <f aca="false">IF(AND(CM$7=$I13,ISNUMBER($I13)),"◆","")</f>
        <v/>
      </c>
      <c r="CN13" s="57" t="str">
        <f aca="false">IF(AND(CN$7=$I13,ISNUMBER($I13)),"◆","")</f>
        <v/>
      </c>
      <c r="CO13" s="57" t="str">
        <f aca="false">IF(AND(CO$7=$I13,ISNUMBER($I13)),"◆","")</f>
        <v/>
      </c>
      <c r="CP13" s="57" t="str">
        <f aca="false">IF(AND(CP$7=$I13,ISNUMBER($I13)),"◆","")</f>
        <v/>
      </c>
      <c r="CQ13" s="57" t="str">
        <f aca="false">IF(AND(CQ$7=$I13,ISNUMBER($I13)),"◆","")</f>
        <v/>
      </c>
      <c r="CR13" s="57" t="str">
        <f aca="false">IF(AND(CR$7=$I13,ISNUMBER($I13)),"◆","")</f>
        <v/>
      </c>
      <c r="CS13" s="57" t="str">
        <f aca="false">IF(AND(CS$7=$I13,ISNUMBER($I13)),"◆","")</f>
        <v/>
      </c>
      <c r="CT13" s="57" t="str">
        <f aca="false">IF(AND(CT$7=$I13,ISNUMBER($I13)),"◆","")</f>
        <v/>
      </c>
      <c r="CU13" s="57" t="str">
        <f aca="false">IF(AND(CU$7=$I13,ISNUMBER($I13)),"◆","")</f>
        <v/>
      </c>
      <c r="CV13" s="57" t="str">
        <f aca="false">IF(AND(CV$7=$I13,ISNUMBER($I13)),"◆","")</f>
        <v/>
      </c>
      <c r="CW13" s="57" t="str">
        <f aca="false">IF(AND(CW$7=$I13,ISNUMBER($I13)),"◆","")</f>
        <v/>
      </c>
      <c r="CX13" s="57" t="str">
        <f aca="false">IF(AND(CX$7=$I13,ISNUMBER($I13)),"◆","")</f>
        <v/>
      </c>
      <c r="CY13" s="57" t="str">
        <f aca="false">IF(AND(CY$7=$I13,ISNUMBER($I13)),"◆","")</f>
        <v/>
      </c>
      <c r="CZ13" s="57" t="str">
        <f aca="false">IF(AND(CZ$7=$I13,ISNUMBER($I13)),"◆","")</f>
        <v/>
      </c>
      <c r="DA13" s="57" t="str">
        <f aca="false">IF(AND(DA$7=$I13,ISNUMBER($I13)),"◆","")</f>
        <v/>
      </c>
      <c r="DB13" s="57" t="str">
        <f aca="false">IF(AND(DB$7=$I13,ISNUMBER($I13)),"◆","")</f>
        <v/>
      </c>
      <c r="DC13" s="57" t="str">
        <f aca="false">IF(AND(DC$7=$I13,ISNUMBER($I13)),"◆","")</f>
        <v/>
      </c>
      <c r="DD13" s="57" t="str">
        <f aca="false">IF(AND(DD$7=$I13,ISNUMBER($I13)),"◆","")</f>
        <v/>
      </c>
      <c r="DE13" s="57" t="str">
        <f aca="false">IF(AND(DE$7=$I13,ISNUMBER($I13)),"◆","")</f>
        <v/>
      </c>
      <c r="DF13" s="57" t="str">
        <f aca="false">IF(AND(DF$7=$I13,ISNUMBER($I13)),"◆","")</f>
        <v/>
      </c>
      <c r="DG13" s="57" t="str">
        <f aca="false">IF(AND(DG$7=$I13,ISNUMBER($I13)),"◆","")</f>
        <v/>
      </c>
      <c r="DH13" s="57" t="str">
        <f aca="false">IF(AND(DH$7=$I13,ISNUMBER($I13)),"◆","")</f>
        <v/>
      </c>
      <c r="DI13" s="57" t="str">
        <f aca="false">IF(AND(DI$7=$I13,ISNUMBER($I13)),"◆","")</f>
        <v/>
      </c>
      <c r="DJ13" s="57" t="str">
        <f aca="false">IF(AND(DJ$7=$I13,ISNUMBER($I13)),"◆","")</f>
        <v/>
      </c>
      <c r="DK13" s="57" t="str">
        <f aca="false">IF(AND(DK$7=$I13,ISNUMBER($I13)),"◆","")</f>
        <v/>
      </c>
      <c r="DL13" s="57" t="str">
        <f aca="false">IF(AND(DL$7=$I13,ISNUMBER($I13)),"◆","")</f>
        <v/>
      </c>
      <c r="DM13" s="57" t="str">
        <f aca="false">IF(AND(DM$7=$I13,ISNUMBER($I13)),"◆","")</f>
        <v/>
      </c>
      <c r="DN13" s="57" t="str">
        <f aca="false">IF(AND(DN$7=$I13,ISNUMBER($I13)),"◆","")</f>
        <v/>
      </c>
      <c r="DO13" s="57" t="str">
        <f aca="false">IF(AND(DO$7=$I13,ISNUMBER($I13)),"◆","")</f>
        <v/>
      </c>
      <c r="DP13" s="57" t="str">
        <f aca="false">IF(AND(DP$7=$I13,ISNUMBER($I13)),"◆","")</f>
        <v/>
      </c>
      <c r="DQ13" s="57" t="str">
        <f aca="false">IF(AND(DQ$7=$I13,ISNUMBER($I13)),"◆","")</f>
        <v/>
      </c>
      <c r="DR13" s="57" t="str">
        <f aca="false">IF(AND(DR$7=$I13,ISNUMBER($I13)),"◆","")</f>
        <v/>
      </c>
      <c r="DS13" s="57" t="str">
        <f aca="false">IF(AND(DS$7=$I13,ISNUMBER($I13)),"◆","")</f>
        <v/>
      </c>
      <c r="DT13" s="57" t="str">
        <f aca="false">IF(AND(DT$7=$I13,ISNUMBER($I13)),"◆","")</f>
        <v/>
      </c>
      <c r="DU13" s="57" t="str">
        <f aca="false">IF(AND(DU$7=$I13,ISNUMBER($I13)),"◆","")</f>
        <v/>
      </c>
      <c r="DV13" s="57" t="str">
        <f aca="false">IF(AND(DV$7=$I13,ISNUMBER($I13)),"◆","")</f>
        <v/>
      </c>
      <c r="DW13" s="57" t="str">
        <f aca="false">IF(AND(DW$7=$I13,ISNUMBER($I13)),"◆","")</f>
        <v/>
      </c>
      <c r="DX13" s="57" t="str">
        <f aca="false">IF(AND(DX$7=$I13,ISNUMBER($I13)),"◆","")</f>
        <v/>
      </c>
      <c r="DY13" s="57" t="str">
        <f aca="false">IF(AND(DY$7=$I13,ISNUMBER($I13)),"◆","")</f>
        <v/>
      </c>
      <c r="DZ13" s="57" t="str">
        <f aca="false">IF(AND(DZ$7=$I13,ISNUMBER($I13)),"◆","")</f>
        <v/>
      </c>
      <c r="EA13" s="57" t="str">
        <f aca="false">IF(AND(EA$7=$I13,ISNUMBER($I13)),"◆","")</f>
        <v/>
      </c>
      <c r="EB13" s="57" t="str">
        <f aca="false">IF(AND(EB$7=$I13,ISNUMBER($I13)),"◆","")</f>
        <v/>
      </c>
      <c r="EC13" s="57" t="str">
        <f aca="false">IF(AND(EC$7=$I13,ISNUMBER($I13)),"◆","")</f>
        <v/>
      </c>
      <c r="ED13" s="57" t="str">
        <f aca="false">IF(AND(ED$7=$I13,ISNUMBER($I13)),"◆","")</f>
        <v/>
      </c>
      <c r="EE13" s="57" t="str">
        <f aca="false">IF(AND(EE$7=$I13,ISNUMBER($I13)),"◆","")</f>
        <v/>
      </c>
      <c r="EF13" s="57" t="str">
        <f aca="false">IF(AND(EF$7=$I13,ISNUMBER($I13)),"◆","")</f>
        <v/>
      </c>
      <c r="EG13" s="57" t="str">
        <f aca="false">IF(AND(EG$7=$I13,ISNUMBER($I13)),"◆","")</f>
        <v/>
      </c>
      <c r="EH13" s="57" t="str">
        <f aca="false">IF(AND(EH$7=$I13,ISNUMBER($I13)),"◆","")</f>
        <v/>
      </c>
      <c r="EI13" s="57" t="str">
        <f aca="false">IF(AND(EI$7=$I13,ISNUMBER($I13)),"◆","")</f>
        <v/>
      </c>
      <c r="EJ13" s="57" t="str">
        <f aca="false">IF(AND(EJ$7=$I13,ISNUMBER($I13)),"◆","")</f>
        <v/>
      </c>
      <c r="EK13" s="57" t="str">
        <f aca="false">IF(AND(EK$7=$I13,ISNUMBER($I13)),"◆","")</f>
        <v/>
      </c>
      <c r="EL13" s="57" t="str">
        <f aca="false">IF(AND(EL$7=$I13,ISNUMBER($I13)),"◆","")</f>
        <v/>
      </c>
      <c r="EM13" s="57" t="str">
        <f aca="false">IF(AND(EM$7=$I13,ISNUMBER($I13)),"◆","")</f>
        <v/>
      </c>
      <c r="EN13" s="57" t="str">
        <f aca="false">IF(AND(EN$7=$I13,ISNUMBER($I13)),"◆","")</f>
        <v/>
      </c>
      <c r="EO13" s="57" t="str">
        <f aca="false">IF(AND(EO$7=$I13,ISNUMBER($I13)),"◆","")</f>
        <v/>
      </c>
      <c r="EP13" s="57" t="str">
        <f aca="false">IF(AND(EP$7=$I13,ISNUMBER($I13)),"◆","")</f>
        <v/>
      </c>
      <c r="EQ13" s="57" t="str">
        <f aca="false">IF(AND(EQ$7=$I13,ISNUMBER($I13)),"◆","")</f>
        <v/>
      </c>
      <c r="ER13" s="57" t="str">
        <f aca="false">IF(AND(ER$7=$I13,ISNUMBER($I13)),"◆","")</f>
        <v/>
      </c>
      <c r="ES13" s="57" t="str">
        <f aca="false">IF(AND(ES$7=$I13,ISNUMBER($I13)),"◆","")</f>
        <v/>
      </c>
      <c r="ET13" s="57" t="str">
        <f aca="false">IF(AND(ET$7=$I13,ISNUMBER($I13)),"◆","")</f>
        <v/>
      </c>
      <c r="EU13" s="57" t="str">
        <f aca="false">IF(AND(EU$7=$I13,ISNUMBER($I13)),"◆","")</f>
        <v/>
      </c>
      <c r="EV13" s="57" t="str">
        <f aca="false">IF(AND(EV$7=$I13,ISNUMBER($I13)),"◆","")</f>
        <v/>
      </c>
      <c r="EW13" s="57" t="str">
        <f aca="false">IF(AND(EW$7=$I13,ISNUMBER($I13)),"◆","")</f>
        <v/>
      </c>
      <c r="EX13" s="57" t="str">
        <f aca="false">IF(AND(EX$7=$I13,ISNUMBER($I13)),"◆","")</f>
        <v/>
      </c>
      <c r="EY13" s="57" t="str">
        <f aca="false">IF(AND(EY$7=$I13,ISNUMBER($I13)),"◆","")</f>
        <v/>
      </c>
      <c r="EZ13" s="57" t="str">
        <f aca="false">IF(AND(EZ$7=$I13,ISNUMBER($I13)),"◆","")</f>
        <v/>
      </c>
      <c r="FA13" s="57" t="str">
        <f aca="false">IF(AND(FA$7=$I13,ISNUMBER($I13)),"◆","")</f>
        <v/>
      </c>
      <c r="FB13" s="57" t="str">
        <f aca="false">IF(AND(FB$7=$I13,ISNUMBER($I13)),"◆","")</f>
        <v/>
      </c>
      <c r="FC13" s="57" t="str">
        <f aca="false">IF(AND(FC$7=$I13,ISNUMBER($I13)),"◆","")</f>
        <v/>
      </c>
      <c r="FD13" s="57" t="str">
        <f aca="false">IF(AND(FD$7=$I13,ISNUMBER($I13)),"◆","")</f>
        <v/>
      </c>
      <c r="FE13" s="57" t="str">
        <f aca="false">IF(AND(FE$7=$I13,ISNUMBER($I13)),"◆","")</f>
        <v/>
      </c>
      <c r="FF13" s="57" t="str">
        <f aca="false">IF(AND(FF$7=$I13,ISNUMBER($I13)),"◆","")</f>
        <v/>
      </c>
      <c r="FG13" s="57" t="str">
        <f aca="false">IF(AND(FG$7=$I13,ISNUMBER($I13)),"◆","")</f>
        <v/>
      </c>
      <c r="FH13" s="57" t="str">
        <f aca="false">IF(AND(FH$7=$I13,ISNUMBER($I13)),"◆","")</f>
        <v/>
      </c>
      <c r="FI13" s="57" t="str">
        <f aca="false">IF(AND(FI$7=$I13,ISNUMBER($I13)),"◆","")</f>
        <v/>
      </c>
      <c r="FJ13" s="57" t="str">
        <f aca="false">IF(AND(FJ$7=$I13,ISNUMBER($I13)),"◆","")</f>
        <v/>
      </c>
      <c r="FK13" s="57" t="str">
        <f aca="false">IF(AND(FK$7=$I13,ISNUMBER($I13)),"◆","")</f>
        <v/>
      </c>
      <c r="FL13" s="57" t="str">
        <f aca="false">IF(AND(FL$7=$I13,ISNUMBER($I13)),"◆","")</f>
        <v/>
      </c>
      <c r="FM13" s="57" t="str">
        <f aca="false">IF(AND(FM$7=$I13,ISNUMBER($I13)),"◆","")</f>
        <v/>
      </c>
      <c r="FN13" s="57" t="str">
        <f aca="false">IF(AND(FN$7=$I13,ISNUMBER($I13)),"◆","")</f>
        <v/>
      </c>
      <c r="FO13" s="57" t="str">
        <f aca="false">IF(AND(FO$7=$I13,ISNUMBER($I13)),"◆","")</f>
        <v/>
      </c>
      <c r="FP13" s="57" t="str">
        <f aca="false">IF(AND(FP$7=$I13,ISNUMBER($I13)),"◆","")</f>
        <v/>
      </c>
      <c r="FQ13" s="57" t="str">
        <f aca="false">IF(AND(FQ$7=$I13,ISNUMBER($I13)),"◆","")</f>
        <v/>
      </c>
      <c r="FR13" s="57" t="str">
        <f aca="false">IF(AND(FR$7=$I13,ISNUMBER($I13)),"◆","")</f>
        <v/>
      </c>
      <c r="FS13" s="57" t="str">
        <f aca="false">IF(AND(FS$7=$I13,ISNUMBER($I13)),"◆","")</f>
        <v/>
      </c>
      <c r="FT13" s="57" t="str">
        <f aca="false">IF(AND(FT$7=$I13,ISNUMBER($I13)),"◆","")</f>
        <v/>
      </c>
      <c r="FU13" s="57" t="str">
        <f aca="false">IF(AND(FU$7=$I13,ISNUMBER($I13)),"◆","")</f>
        <v/>
      </c>
      <c r="FV13" s="57" t="str">
        <f aca="false">IF(AND(FV$7=$I13,ISNUMBER($I13)),"◆","")</f>
        <v/>
      </c>
    </row>
    <row r="14" customFormat="false" ht="25.5" hidden="false" customHeight="true" outlineLevel="0" collapsed="false">
      <c r="A14" s="50" t="str">
        <f aca="false">制作工程表!A12</f>
        <v>T04</v>
      </c>
      <c r="B14" s="51" t="str">
        <f aca="false">制作工程表!B12</f>
        <v>設計</v>
      </c>
      <c r="C14" s="52" t="str">
        <f aca="false">制作工程表!C12</f>
        <v>ワイヤーフレーム・素材比較機能の設計</v>
      </c>
      <c r="D14" s="53" t="str">
        <f aca="false">制作工程表!D12</f>
        <v>編集ディレクター・デザイナー</v>
      </c>
      <c r="E14" s="53" t="str">
        <f aca="false">制作工程表!E12</f>
        <v>—</v>
      </c>
      <c r="F14" s="54" t="str">
        <f aca="false">IF(制作工程表!B12="取材撮影","撮影",IF(OR(制作工程表!D12="広報窓口",制作工程表!D12="代表",制作工程表!D12="技術営業課",制作工程表!D12="品質管理課",制作工程表!D12="製造部"),"企業","制作"))</f>
        <v>制作</v>
      </c>
      <c r="G14" s="55" t="n">
        <f aca="false">制作工程表!G12</f>
        <v>46351</v>
      </c>
      <c r="H14" s="55" t="n">
        <f aca="false">制作工程表!H12</f>
        <v>46359</v>
      </c>
      <c r="I14" s="56" t="str">
        <f aca="false">制作工程表!I12</f>
        <v>—</v>
      </c>
      <c r="J14" s="51" t="str">
        <f aca="false">制作工程表!K12</f>
        <v>未着手</v>
      </c>
      <c r="K14" s="57" t="str">
        <f aca="false">IF(AND(K$7=$I14,ISNUMBER($I14)),"◆","")</f>
        <v/>
      </c>
      <c r="L14" s="57" t="str">
        <f aca="false">IF(AND(L$7=$I14,ISNUMBER($I14)),"◆","")</f>
        <v/>
      </c>
      <c r="M14" s="57" t="str">
        <f aca="false">IF(AND(M$7=$I14,ISNUMBER($I14)),"◆","")</f>
        <v/>
      </c>
      <c r="N14" s="57" t="str">
        <f aca="false">IF(AND(N$7=$I14,ISNUMBER($I14)),"◆","")</f>
        <v/>
      </c>
      <c r="O14" s="57" t="str">
        <f aca="false">IF(AND(O$7=$I14,ISNUMBER($I14)),"◆","")</f>
        <v/>
      </c>
      <c r="P14" s="57" t="str">
        <f aca="false">IF(AND(P$7=$I14,ISNUMBER($I14)),"◆","")</f>
        <v/>
      </c>
      <c r="Q14" s="57" t="str">
        <f aca="false">IF(AND(Q$7=$I14,ISNUMBER($I14)),"◆","")</f>
        <v/>
      </c>
      <c r="R14" s="57" t="str">
        <f aca="false">IF(AND(R$7=$I14,ISNUMBER($I14)),"◆","")</f>
        <v/>
      </c>
      <c r="S14" s="57" t="str">
        <f aca="false">IF(AND(S$7=$I14,ISNUMBER($I14)),"◆","")</f>
        <v/>
      </c>
      <c r="T14" s="57" t="str">
        <f aca="false">IF(AND(T$7=$I14,ISNUMBER($I14)),"◆","")</f>
        <v/>
      </c>
      <c r="U14" s="57" t="str">
        <f aca="false">IF(AND(U$7=$I14,ISNUMBER($I14)),"◆","")</f>
        <v/>
      </c>
      <c r="V14" s="57" t="str">
        <f aca="false">IF(AND(V$7=$I14,ISNUMBER($I14)),"◆","")</f>
        <v/>
      </c>
      <c r="W14" s="57" t="str">
        <f aca="false">IF(AND(W$7=$I14,ISNUMBER($I14)),"◆","")</f>
        <v/>
      </c>
      <c r="X14" s="57" t="str">
        <f aca="false">IF(AND(X$7=$I14,ISNUMBER($I14)),"◆","")</f>
        <v/>
      </c>
      <c r="Y14" s="57" t="str">
        <f aca="false">IF(AND(Y$7=$I14,ISNUMBER($I14)),"◆","")</f>
        <v/>
      </c>
      <c r="Z14" s="57" t="str">
        <f aca="false">IF(AND(Z$7=$I14,ISNUMBER($I14)),"◆","")</f>
        <v/>
      </c>
      <c r="AA14" s="57" t="str">
        <f aca="false">IF(AND(AA$7=$I14,ISNUMBER($I14)),"◆","")</f>
        <v/>
      </c>
      <c r="AB14" s="57" t="str">
        <f aca="false">IF(AND(AB$7=$I14,ISNUMBER($I14)),"◆","")</f>
        <v/>
      </c>
      <c r="AC14" s="57" t="str">
        <f aca="false">IF(AND(AC$7=$I14,ISNUMBER($I14)),"◆","")</f>
        <v/>
      </c>
      <c r="AD14" s="57" t="str">
        <f aca="false">IF(AND(AD$7=$I14,ISNUMBER($I14)),"◆","")</f>
        <v/>
      </c>
      <c r="AE14" s="57" t="str">
        <f aca="false">IF(AND(AE$7=$I14,ISNUMBER($I14)),"◆","")</f>
        <v/>
      </c>
      <c r="AF14" s="57" t="str">
        <f aca="false">IF(AND(AF$7=$I14,ISNUMBER($I14)),"◆","")</f>
        <v/>
      </c>
      <c r="AG14" s="57" t="str">
        <f aca="false">IF(AND(AG$7=$I14,ISNUMBER($I14)),"◆","")</f>
        <v/>
      </c>
      <c r="AH14" s="57" t="str">
        <f aca="false">IF(AND(AH$7=$I14,ISNUMBER($I14)),"◆","")</f>
        <v/>
      </c>
      <c r="AI14" s="57" t="str">
        <f aca="false">IF(AND(AI$7=$I14,ISNUMBER($I14)),"◆","")</f>
        <v/>
      </c>
      <c r="AJ14" s="57" t="str">
        <f aca="false">IF(AND(AJ$7=$I14,ISNUMBER($I14)),"◆","")</f>
        <v/>
      </c>
      <c r="AK14" s="57" t="str">
        <f aca="false">IF(AND(AK$7=$I14,ISNUMBER($I14)),"◆","")</f>
        <v/>
      </c>
      <c r="AL14" s="57" t="str">
        <f aca="false">IF(AND(AL$7=$I14,ISNUMBER($I14)),"◆","")</f>
        <v/>
      </c>
      <c r="AM14" s="57" t="str">
        <f aca="false">IF(AND(AM$7=$I14,ISNUMBER($I14)),"◆","")</f>
        <v/>
      </c>
      <c r="AN14" s="57" t="str">
        <f aca="false">IF(AND(AN$7=$I14,ISNUMBER($I14)),"◆","")</f>
        <v/>
      </c>
      <c r="AO14" s="57" t="str">
        <f aca="false">IF(AND(AO$7=$I14,ISNUMBER($I14)),"◆","")</f>
        <v/>
      </c>
      <c r="AP14" s="57" t="str">
        <f aca="false">IF(AND(AP$7=$I14,ISNUMBER($I14)),"◆","")</f>
        <v/>
      </c>
      <c r="AQ14" s="57" t="str">
        <f aca="false">IF(AND(AQ$7=$I14,ISNUMBER($I14)),"◆","")</f>
        <v/>
      </c>
      <c r="AR14" s="57" t="str">
        <f aca="false">IF(AND(AR$7=$I14,ISNUMBER($I14)),"◆","")</f>
        <v/>
      </c>
      <c r="AS14" s="57" t="str">
        <f aca="false">IF(AND(AS$7=$I14,ISNUMBER($I14)),"◆","")</f>
        <v/>
      </c>
      <c r="AT14" s="57" t="str">
        <f aca="false">IF(AND(AT$7=$I14,ISNUMBER($I14)),"◆","")</f>
        <v/>
      </c>
      <c r="AU14" s="57" t="str">
        <f aca="false">IF(AND(AU$7=$I14,ISNUMBER($I14)),"◆","")</f>
        <v/>
      </c>
      <c r="AV14" s="57" t="str">
        <f aca="false">IF(AND(AV$7=$I14,ISNUMBER($I14)),"◆","")</f>
        <v/>
      </c>
      <c r="AW14" s="57" t="str">
        <f aca="false">IF(AND(AW$7=$I14,ISNUMBER($I14)),"◆","")</f>
        <v/>
      </c>
      <c r="AX14" s="57" t="str">
        <f aca="false">IF(AND(AX$7=$I14,ISNUMBER($I14)),"◆","")</f>
        <v/>
      </c>
      <c r="AY14" s="57" t="str">
        <f aca="false">IF(AND(AY$7=$I14,ISNUMBER($I14)),"◆","")</f>
        <v/>
      </c>
      <c r="AZ14" s="57" t="str">
        <f aca="false">IF(AND(AZ$7=$I14,ISNUMBER($I14)),"◆","")</f>
        <v/>
      </c>
      <c r="BA14" s="57" t="str">
        <f aca="false">IF(AND(BA$7=$I14,ISNUMBER($I14)),"◆","")</f>
        <v/>
      </c>
      <c r="BB14" s="57" t="str">
        <f aca="false">IF(AND(BB$7=$I14,ISNUMBER($I14)),"◆","")</f>
        <v/>
      </c>
      <c r="BC14" s="57" t="str">
        <f aca="false">IF(AND(BC$7=$I14,ISNUMBER($I14)),"◆","")</f>
        <v/>
      </c>
      <c r="BD14" s="57" t="str">
        <f aca="false">IF(AND(BD$7=$I14,ISNUMBER($I14)),"◆","")</f>
        <v/>
      </c>
      <c r="BE14" s="57" t="str">
        <f aca="false">IF(AND(BE$7=$I14,ISNUMBER($I14)),"◆","")</f>
        <v/>
      </c>
      <c r="BF14" s="57" t="str">
        <f aca="false">IF(AND(BF$7=$I14,ISNUMBER($I14)),"◆","")</f>
        <v/>
      </c>
      <c r="BG14" s="57" t="str">
        <f aca="false">IF(AND(BG$7=$I14,ISNUMBER($I14)),"◆","")</f>
        <v/>
      </c>
      <c r="BH14" s="57" t="str">
        <f aca="false">IF(AND(BH$7=$I14,ISNUMBER($I14)),"◆","")</f>
        <v/>
      </c>
      <c r="BI14" s="57" t="str">
        <f aca="false">IF(AND(BI$7=$I14,ISNUMBER($I14)),"◆","")</f>
        <v/>
      </c>
      <c r="BJ14" s="57" t="str">
        <f aca="false">IF(AND(BJ$7=$I14,ISNUMBER($I14)),"◆","")</f>
        <v/>
      </c>
      <c r="BK14" s="57" t="str">
        <f aca="false">IF(AND(BK$7=$I14,ISNUMBER($I14)),"◆","")</f>
        <v/>
      </c>
      <c r="BL14" s="57" t="str">
        <f aca="false">IF(AND(BL$7=$I14,ISNUMBER($I14)),"◆","")</f>
        <v/>
      </c>
      <c r="BM14" s="57" t="str">
        <f aca="false">IF(AND(BM$7=$I14,ISNUMBER($I14)),"◆","")</f>
        <v/>
      </c>
      <c r="BN14" s="57" t="str">
        <f aca="false">IF(AND(BN$7=$I14,ISNUMBER($I14)),"◆","")</f>
        <v/>
      </c>
      <c r="BO14" s="57" t="str">
        <f aca="false">IF(AND(BO$7=$I14,ISNUMBER($I14)),"◆","")</f>
        <v/>
      </c>
      <c r="BP14" s="57" t="str">
        <f aca="false">IF(AND(BP$7=$I14,ISNUMBER($I14)),"◆","")</f>
        <v/>
      </c>
      <c r="BQ14" s="57" t="str">
        <f aca="false">IF(AND(BQ$7=$I14,ISNUMBER($I14)),"◆","")</f>
        <v/>
      </c>
      <c r="BR14" s="57" t="str">
        <f aca="false">IF(AND(BR$7=$I14,ISNUMBER($I14)),"◆","")</f>
        <v/>
      </c>
      <c r="BS14" s="57" t="str">
        <f aca="false">IF(AND(BS$7=$I14,ISNUMBER($I14)),"◆","")</f>
        <v/>
      </c>
      <c r="BT14" s="57" t="str">
        <f aca="false">IF(AND(BT$7=$I14,ISNUMBER($I14)),"◆","")</f>
        <v/>
      </c>
      <c r="BU14" s="57" t="str">
        <f aca="false">IF(AND(BU$7=$I14,ISNUMBER($I14)),"◆","")</f>
        <v/>
      </c>
      <c r="BV14" s="57" t="str">
        <f aca="false">IF(AND(BV$7=$I14,ISNUMBER($I14)),"◆","")</f>
        <v/>
      </c>
      <c r="BW14" s="57" t="str">
        <f aca="false">IF(AND(BW$7=$I14,ISNUMBER($I14)),"◆","")</f>
        <v/>
      </c>
      <c r="BX14" s="57" t="str">
        <f aca="false">IF(AND(BX$7=$I14,ISNUMBER($I14)),"◆","")</f>
        <v/>
      </c>
      <c r="BY14" s="57" t="str">
        <f aca="false">IF(AND(BY$7=$I14,ISNUMBER($I14)),"◆","")</f>
        <v/>
      </c>
      <c r="BZ14" s="57" t="str">
        <f aca="false">IF(AND(BZ$7=$I14,ISNUMBER($I14)),"◆","")</f>
        <v/>
      </c>
      <c r="CA14" s="57" t="str">
        <f aca="false">IF(AND(CA$7=$I14,ISNUMBER($I14)),"◆","")</f>
        <v/>
      </c>
      <c r="CB14" s="57" t="str">
        <f aca="false">IF(AND(CB$7=$I14,ISNUMBER($I14)),"◆","")</f>
        <v/>
      </c>
      <c r="CC14" s="57" t="str">
        <f aca="false">IF(AND(CC$7=$I14,ISNUMBER($I14)),"◆","")</f>
        <v/>
      </c>
      <c r="CD14" s="57" t="str">
        <f aca="false">IF(AND(CD$7=$I14,ISNUMBER($I14)),"◆","")</f>
        <v/>
      </c>
      <c r="CE14" s="57" t="str">
        <f aca="false">IF(AND(CE$7=$I14,ISNUMBER($I14)),"◆","")</f>
        <v/>
      </c>
      <c r="CF14" s="57" t="str">
        <f aca="false">IF(AND(CF$7=$I14,ISNUMBER($I14)),"◆","")</f>
        <v/>
      </c>
      <c r="CG14" s="57" t="str">
        <f aca="false">IF(AND(CG$7=$I14,ISNUMBER($I14)),"◆","")</f>
        <v/>
      </c>
      <c r="CH14" s="57" t="str">
        <f aca="false">IF(AND(CH$7=$I14,ISNUMBER($I14)),"◆","")</f>
        <v/>
      </c>
      <c r="CI14" s="57" t="str">
        <f aca="false">IF(AND(CI$7=$I14,ISNUMBER($I14)),"◆","")</f>
        <v/>
      </c>
      <c r="CJ14" s="57" t="str">
        <f aca="false">IF(AND(CJ$7=$I14,ISNUMBER($I14)),"◆","")</f>
        <v/>
      </c>
      <c r="CK14" s="57" t="str">
        <f aca="false">IF(AND(CK$7=$I14,ISNUMBER($I14)),"◆","")</f>
        <v/>
      </c>
      <c r="CL14" s="57" t="str">
        <f aca="false">IF(AND(CL$7=$I14,ISNUMBER($I14)),"◆","")</f>
        <v/>
      </c>
      <c r="CM14" s="57" t="str">
        <f aca="false">IF(AND(CM$7=$I14,ISNUMBER($I14)),"◆","")</f>
        <v/>
      </c>
      <c r="CN14" s="57" t="str">
        <f aca="false">IF(AND(CN$7=$I14,ISNUMBER($I14)),"◆","")</f>
        <v/>
      </c>
      <c r="CO14" s="57" t="str">
        <f aca="false">IF(AND(CO$7=$I14,ISNUMBER($I14)),"◆","")</f>
        <v/>
      </c>
      <c r="CP14" s="57" t="str">
        <f aca="false">IF(AND(CP$7=$I14,ISNUMBER($I14)),"◆","")</f>
        <v/>
      </c>
      <c r="CQ14" s="57" t="str">
        <f aca="false">IF(AND(CQ$7=$I14,ISNUMBER($I14)),"◆","")</f>
        <v/>
      </c>
      <c r="CR14" s="57" t="str">
        <f aca="false">IF(AND(CR$7=$I14,ISNUMBER($I14)),"◆","")</f>
        <v/>
      </c>
      <c r="CS14" s="57" t="str">
        <f aca="false">IF(AND(CS$7=$I14,ISNUMBER($I14)),"◆","")</f>
        <v/>
      </c>
      <c r="CT14" s="57" t="str">
        <f aca="false">IF(AND(CT$7=$I14,ISNUMBER($I14)),"◆","")</f>
        <v/>
      </c>
      <c r="CU14" s="57" t="str">
        <f aca="false">IF(AND(CU$7=$I14,ISNUMBER($I14)),"◆","")</f>
        <v/>
      </c>
      <c r="CV14" s="57" t="str">
        <f aca="false">IF(AND(CV$7=$I14,ISNUMBER($I14)),"◆","")</f>
        <v/>
      </c>
      <c r="CW14" s="57" t="str">
        <f aca="false">IF(AND(CW$7=$I14,ISNUMBER($I14)),"◆","")</f>
        <v/>
      </c>
      <c r="CX14" s="57" t="str">
        <f aca="false">IF(AND(CX$7=$I14,ISNUMBER($I14)),"◆","")</f>
        <v/>
      </c>
      <c r="CY14" s="57" t="str">
        <f aca="false">IF(AND(CY$7=$I14,ISNUMBER($I14)),"◆","")</f>
        <v/>
      </c>
      <c r="CZ14" s="57" t="str">
        <f aca="false">IF(AND(CZ$7=$I14,ISNUMBER($I14)),"◆","")</f>
        <v/>
      </c>
      <c r="DA14" s="57" t="str">
        <f aca="false">IF(AND(DA$7=$I14,ISNUMBER($I14)),"◆","")</f>
        <v/>
      </c>
      <c r="DB14" s="57" t="str">
        <f aca="false">IF(AND(DB$7=$I14,ISNUMBER($I14)),"◆","")</f>
        <v/>
      </c>
      <c r="DC14" s="57" t="str">
        <f aca="false">IF(AND(DC$7=$I14,ISNUMBER($I14)),"◆","")</f>
        <v/>
      </c>
      <c r="DD14" s="57" t="str">
        <f aca="false">IF(AND(DD$7=$I14,ISNUMBER($I14)),"◆","")</f>
        <v/>
      </c>
      <c r="DE14" s="57" t="str">
        <f aca="false">IF(AND(DE$7=$I14,ISNUMBER($I14)),"◆","")</f>
        <v/>
      </c>
      <c r="DF14" s="57" t="str">
        <f aca="false">IF(AND(DF$7=$I14,ISNUMBER($I14)),"◆","")</f>
        <v/>
      </c>
      <c r="DG14" s="57" t="str">
        <f aca="false">IF(AND(DG$7=$I14,ISNUMBER($I14)),"◆","")</f>
        <v/>
      </c>
      <c r="DH14" s="57" t="str">
        <f aca="false">IF(AND(DH$7=$I14,ISNUMBER($I14)),"◆","")</f>
        <v/>
      </c>
      <c r="DI14" s="57" t="str">
        <f aca="false">IF(AND(DI$7=$I14,ISNUMBER($I14)),"◆","")</f>
        <v/>
      </c>
      <c r="DJ14" s="57" t="str">
        <f aca="false">IF(AND(DJ$7=$I14,ISNUMBER($I14)),"◆","")</f>
        <v/>
      </c>
      <c r="DK14" s="57" t="str">
        <f aca="false">IF(AND(DK$7=$I14,ISNUMBER($I14)),"◆","")</f>
        <v/>
      </c>
      <c r="DL14" s="57" t="str">
        <f aca="false">IF(AND(DL$7=$I14,ISNUMBER($I14)),"◆","")</f>
        <v/>
      </c>
      <c r="DM14" s="57" t="str">
        <f aca="false">IF(AND(DM$7=$I14,ISNUMBER($I14)),"◆","")</f>
        <v/>
      </c>
      <c r="DN14" s="57" t="str">
        <f aca="false">IF(AND(DN$7=$I14,ISNUMBER($I14)),"◆","")</f>
        <v/>
      </c>
      <c r="DO14" s="57" t="str">
        <f aca="false">IF(AND(DO$7=$I14,ISNUMBER($I14)),"◆","")</f>
        <v/>
      </c>
      <c r="DP14" s="57" t="str">
        <f aca="false">IF(AND(DP$7=$I14,ISNUMBER($I14)),"◆","")</f>
        <v/>
      </c>
      <c r="DQ14" s="57" t="str">
        <f aca="false">IF(AND(DQ$7=$I14,ISNUMBER($I14)),"◆","")</f>
        <v/>
      </c>
      <c r="DR14" s="57" t="str">
        <f aca="false">IF(AND(DR$7=$I14,ISNUMBER($I14)),"◆","")</f>
        <v/>
      </c>
      <c r="DS14" s="57" t="str">
        <f aca="false">IF(AND(DS$7=$I14,ISNUMBER($I14)),"◆","")</f>
        <v/>
      </c>
      <c r="DT14" s="57" t="str">
        <f aca="false">IF(AND(DT$7=$I14,ISNUMBER($I14)),"◆","")</f>
        <v/>
      </c>
      <c r="DU14" s="57" t="str">
        <f aca="false">IF(AND(DU$7=$I14,ISNUMBER($I14)),"◆","")</f>
        <v/>
      </c>
      <c r="DV14" s="57" t="str">
        <f aca="false">IF(AND(DV$7=$I14,ISNUMBER($I14)),"◆","")</f>
        <v/>
      </c>
      <c r="DW14" s="57" t="str">
        <f aca="false">IF(AND(DW$7=$I14,ISNUMBER($I14)),"◆","")</f>
        <v/>
      </c>
      <c r="DX14" s="57" t="str">
        <f aca="false">IF(AND(DX$7=$I14,ISNUMBER($I14)),"◆","")</f>
        <v/>
      </c>
      <c r="DY14" s="57" t="str">
        <f aca="false">IF(AND(DY$7=$I14,ISNUMBER($I14)),"◆","")</f>
        <v/>
      </c>
      <c r="DZ14" s="57" t="str">
        <f aca="false">IF(AND(DZ$7=$I14,ISNUMBER($I14)),"◆","")</f>
        <v/>
      </c>
      <c r="EA14" s="57" t="str">
        <f aca="false">IF(AND(EA$7=$I14,ISNUMBER($I14)),"◆","")</f>
        <v/>
      </c>
      <c r="EB14" s="57" t="str">
        <f aca="false">IF(AND(EB$7=$I14,ISNUMBER($I14)),"◆","")</f>
        <v/>
      </c>
      <c r="EC14" s="57" t="str">
        <f aca="false">IF(AND(EC$7=$I14,ISNUMBER($I14)),"◆","")</f>
        <v/>
      </c>
      <c r="ED14" s="57" t="str">
        <f aca="false">IF(AND(ED$7=$I14,ISNUMBER($I14)),"◆","")</f>
        <v/>
      </c>
      <c r="EE14" s="57" t="str">
        <f aca="false">IF(AND(EE$7=$I14,ISNUMBER($I14)),"◆","")</f>
        <v/>
      </c>
      <c r="EF14" s="57" t="str">
        <f aca="false">IF(AND(EF$7=$I14,ISNUMBER($I14)),"◆","")</f>
        <v/>
      </c>
      <c r="EG14" s="57" t="str">
        <f aca="false">IF(AND(EG$7=$I14,ISNUMBER($I14)),"◆","")</f>
        <v/>
      </c>
      <c r="EH14" s="57" t="str">
        <f aca="false">IF(AND(EH$7=$I14,ISNUMBER($I14)),"◆","")</f>
        <v/>
      </c>
      <c r="EI14" s="57" t="str">
        <f aca="false">IF(AND(EI$7=$I14,ISNUMBER($I14)),"◆","")</f>
        <v/>
      </c>
      <c r="EJ14" s="57" t="str">
        <f aca="false">IF(AND(EJ$7=$I14,ISNUMBER($I14)),"◆","")</f>
        <v/>
      </c>
      <c r="EK14" s="57" t="str">
        <f aca="false">IF(AND(EK$7=$I14,ISNUMBER($I14)),"◆","")</f>
        <v/>
      </c>
      <c r="EL14" s="57" t="str">
        <f aca="false">IF(AND(EL$7=$I14,ISNUMBER($I14)),"◆","")</f>
        <v/>
      </c>
      <c r="EM14" s="57" t="str">
        <f aca="false">IF(AND(EM$7=$I14,ISNUMBER($I14)),"◆","")</f>
        <v/>
      </c>
      <c r="EN14" s="57" t="str">
        <f aca="false">IF(AND(EN$7=$I14,ISNUMBER($I14)),"◆","")</f>
        <v/>
      </c>
      <c r="EO14" s="57" t="str">
        <f aca="false">IF(AND(EO$7=$I14,ISNUMBER($I14)),"◆","")</f>
        <v/>
      </c>
      <c r="EP14" s="57" t="str">
        <f aca="false">IF(AND(EP$7=$I14,ISNUMBER($I14)),"◆","")</f>
        <v/>
      </c>
      <c r="EQ14" s="57" t="str">
        <f aca="false">IF(AND(EQ$7=$I14,ISNUMBER($I14)),"◆","")</f>
        <v/>
      </c>
      <c r="ER14" s="57" t="str">
        <f aca="false">IF(AND(ER$7=$I14,ISNUMBER($I14)),"◆","")</f>
        <v/>
      </c>
      <c r="ES14" s="57" t="str">
        <f aca="false">IF(AND(ES$7=$I14,ISNUMBER($I14)),"◆","")</f>
        <v/>
      </c>
      <c r="ET14" s="57" t="str">
        <f aca="false">IF(AND(ET$7=$I14,ISNUMBER($I14)),"◆","")</f>
        <v/>
      </c>
      <c r="EU14" s="57" t="str">
        <f aca="false">IF(AND(EU$7=$I14,ISNUMBER($I14)),"◆","")</f>
        <v/>
      </c>
      <c r="EV14" s="57" t="str">
        <f aca="false">IF(AND(EV$7=$I14,ISNUMBER($I14)),"◆","")</f>
        <v/>
      </c>
      <c r="EW14" s="57" t="str">
        <f aca="false">IF(AND(EW$7=$I14,ISNUMBER($I14)),"◆","")</f>
        <v/>
      </c>
      <c r="EX14" s="57" t="str">
        <f aca="false">IF(AND(EX$7=$I14,ISNUMBER($I14)),"◆","")</f>
        <v/>
      </c>
      <c r="EY14" s="57" t="str">
        <f aca="false">IF(AND(EY$7=$I14,ISNUMBER($I14)),"◆","")</f>
        <v/>
      </c>
      <c r="EZ14" s="57" t="str">
        <f aca="false">IF(AND(EZ$7=$I14,ISNUMBER($I14)),"◆","")</f>
        <v/>
      </c>
      <c r="FA14" s="57" t="str">
        <f aca="false">IF(AND(FA$7=$I14,ISNUMBER($I14)),"◆","")</f>
        <v/>
      </c>
      <c r="FB14" s="57" t="str">
        <f aca="false">IF(AND(FB$7=$I14,ISNUMBER($I14)),"◆","")</f>
        <v/>
      </c>
      <c r="FC14" s="57" t="str">
        <f aca="false">IF(AND(FC$7=$I14,ISNUMBER($I14)),"◆","")</f>
        <v/>
      </c>
      <c r="FD14" s="57" t="str">
        <f aca="false">IF(AND(FD$7=$I14,ISNUMBER($I14)),"◆","")</f>
        <v/>
      </c>
      <c r="FE14" s="57" t="str">
        <f aca="false">IF(AND(FE$7=$I14,ISNUMBER($I14)),"◆","")</f>
        <v/>
      </c>
      <c r="FF14" s="57" t="str">
        <f aca="false">IF(AND(FF$7=$I14,ISNUMBER($I14)),"◆","")</f>
        <v/>
      </c>
      <c r="FG14" s="57" t="str">
        <f aca="false">IF(AND(FG$7=$I14,ISNUMBER($I14)),"◆","")</f>
        <v/>
      </c>
      <c r="FH14" s="57" t="str">
        <f aca="false">IF(AND(FH$7=$I14,ISNUMBER($I14)),"◆","")</f>
        <v/>
      </c>
      <c r="FI14" s="57" t="str">
        <f aca="false">IF(AND(FI$7=$I14,ISNUMBER($I14)),"◆","")</f>
        <v/>
      </c>
      <c r="FJ14" s="57" t="str">
        <f aca="false">IF(AND(FJ$7=$I14,ISNUMBER($I14)),"◆","")</f>
        <v/>
      </c>
      <c r="FK14" s="57" t="str">
        <f aca="false">IF(AND(FK$7=$I14,ISNUMBER($I14)),"◆","")</f>
        <v/>
      </c>
      <c r="FL14" s="57" t="str">
        <f aca="false">IF(AND(FL$7=$I14,ISNUMBER($I14)),"◆","")</f>
        <v/>
      </c>
      <c r="FM14" s="57" t="str">
        <f aca="false">IF(AND(FM$7=$I14,ISNUMBER($I14)),"◆","")</f>
        <v/>
      </c>
      <c r="FN14" s="57" t="str">
        <f aca="false">IF(AND(FN$7=$I14,ISNUMBER($I14)),"◆","")</f>
        <v/>
      </c>
      <c r="FO14" s="57" t="str">
        <f aca="false">IF(AND(FO$7=$I14,ISNUMBER($I14)),"◆","")</f>
        <v/>
      </c>
      <c r="FP14" s="57" t="str">
        <f aca="false">IF(AND(FP$7=$I14,ISNUMBER($I14)),"◆","")</f>
        <v/>
      </c>
      <c r="FQ14" s="57" t="str">
        <f aca="false">IF(AND(FQ$7=$I14,ISNUMBER($I14)),"◆","")</f>
        <v/>
      </c>
      <c r="FR14" s="57" t="str">
        <f aca="false">IF(AND(FR$7=$I14,ISNUMBER($I14)),"◆","")</f>
        <v/>
      </c>
      <c r="FS14" s="57" t="str">
        <f aca="false">IF(AND(FS$7=$I14,ISNUMBER($I14)),"◆","")</f>
        <v/>
      </c>
      <c r="FT14" s="57" t="str">
        <f aca="false">IF(AND(FT$7=$I14,ISNUMBER($I14)),"◆","")</f>
        <v/>
      </c>
      <c r="FU14" s="57" t="str">
        <f aca="false">IF(AND(FU$7=$I14,ISNUMBER($I14)),"◆","")</f>
        <v/>
      </c>
      <c r="FV14" s="57" t="str">
        <f aca="false">IF(AND(FV$7=$I14,ISNUMBER($I14)),"◆","")</f>
        <v/>
      </c>
    </row>
    <row r="15" customFormat="false" ht="25.5" hidden="false" customHeight="true" outlineLevel="0" collapsed="false">
      <c r="A15" s="50" t="str">
        <f aca="false">制作工程表!A13</f>
        <v>T05</v>
      </c>
      <c r="B15" s="51" t="str">
        <f aca="false">制作工程表!B13</f>
        <v>設計確認</v>
      </c>
      <c r="C15" s="52" t="str">
        <f aca="false">制作工程表!C13</f>
        <v>ワイヤーフレームのご確認</v>
      </c>
      <c r="D15" s="53" t="str">
        <f aca="false">制作工程表!D13</f>
        <v>広報窓口</v>
      </c>
      <c r="E15" s="53" t="str">
        <f aca="false">制作工程表!E13</f>
        <v>代表・技術営業課</v>
      </c>
      <c r="F15" s="54" t="str">
        <f aca="false">IF(制作工程表!B13="取材撮影","撮影",IF(OR(制作工程表!D13="広報窓口",制作工程表!D13="代表",制作工程表!D13="技術営業課",制作工程表!D13="品質管理課",制作工程表!D13="製造部"),"企業","制作"))</f>
        <v>企業</v>
      </c>
      <c r="G15" s="55" t="n">
        <f aca="false">制作工程表!G13</f>
        <v>46360</v>
      </c>
      <c r="H15" s="55" t="n">
        <f aca="false">制作工程表!H13</f>
        <v>46370</v>
      </c>
      <c r="I15" s="56" t="n">
        <f aca="false">制作工程表!I13</f>
        <v>46370</v>
      </c>
      <c r="J15" s="51" t="str">
        <f aca="false">制作工程表!K13</f>
        <v>未着手</v>
      </c>
      <c r="K15" s="57" t="str">
        <f aca="false">IF(AND(K$7=$I15,ISNUMBER($I15)),"◆","")</f>
        <v/>
      </c>
      <c r="L15" s="57" t="str">
        <f aca="false">IF(AND(L$7=$I15,ISNUMBER($I15)),"◆","")</f>
        <v/>
      </c>
      <c r="M15" s="57" t="str">
        <f aca="false">IF(AND(M$7=$I15,ISNUMBER($I15)),"◆","")</f>
        <v/>
      </c>
      <c r="N15" s="57" t="str">
        <f aca="false">IF(AND(N$7=$I15,ISNUMBER($I15)),"◆","")</f>
        <v/>
      </c>
      <c r="O15" s="57" t="str">
        <f aca="false">IF(AND(O$7=$I15,ISNUMBER($I15)),"◆","")</f>
        <v/>
      </c>
      <c r="P15" s="57" t="str">
        <f aca="false">IF(AND(P$7=$I15,ISNUMBER($I15)),"◆","")</f>
        <v/>
      </c>
      <c r="Q15" s="57" t="str">
        <f aca="false">IF(AND(Q$7=$I15,ISNUMBER($I15)),"◆","")</f>
        <v/>
      </c>
      <c r="R15" s="57" t="str">
        <f aca="false">IF(AND(R$7=$I15,ISNUMBER($I15)),"◆","")</f>
        <v/>
      </c>
      <c r="S15" s="57" t="str">
        <f aca="false">IF(AND(S$7=$I15,ISNUMBER($I15)),"◆","")</f>
        <v/>
      </c>
      <c r="T15" s="57" t="str">
        <f aca="false">IF(AND(T$7=$I15,ISNUMBER($I15)),"◆","")</f>
        <v/>
      </c>
      <c r="U15" s="57" t="str">
        <f aca="false">IF(AND(U$7=$I15,ISNUMBER($I15)),"◆","")</f>
        <v/>
      </c>
      <c r="V15" s="57" t="str">
        <f aca="false">IF(AND(V$7=$I15,ISNUMBER($I15)),"◆","")</f>
        <v/>
      </c>
      <c r="W15" s="57" t="str">
        <f aca="false">IF(AND(W$7=$I15,ISNUMBER($I15)),"◆","")</f>
        <v/>
      </c>
      <c r="X15" s="57" t="str">
        <f aca="false">IF(AND(X$7=$I15,ISNUMBER($I15)),"◆","")</f>
        <v/>
      </c>
      <c r="Y15" s="57" t="str">
        <f aca="false">IF(AND(Y$7=$I15,ISNUMBER($I15)),"◆","")</f>
        <v/>
      </c>
      <c r="Z15" s="57" t="str">
        <f aca="false">IF(AND(Z$7=$I15,ISNUMBER($I15)),"◆","")</f>
        <v/>
      </c>
      <c r="AA15" s="57" t="str">
        <f aca="false">IF(AND(AA$7=$I15,ISNUMBER($I15)),"◆","")</f>
        <v/>
      </c>
      <c r="AB15" s="57" t="str">
        <f aca="false">IF(AND(AB$7=$I15,ISNUMBER($I15)),"◆","")</f>
        <v/>
      </c>
      <c r="AC15" s="57" t="str">
        <f aca="false">IF(AND(AC$7=$I15,ISNUMBER($I15)),"◆","")</f>
        <v/>
      </c>
      <c r="AD15" s="57" t="str">
        <f aca="false">IF(AND(AD$7=$I15,ISNUMBER($I15)),"◆","")</f>
        <v/>
      </c>
      <c r="AE15" s="57" t="str">
        <f aca="false">IF(AND(AE$7=$I15,ISNUMBER($I15)),"◆","")</f>
        <v/>
      </c>
      <c r="AF15" s="57" t="str">
        <f aca="false">IF(AND(AF$7=$I15,ISNUMBER($I15)),"◆","")</f>
        <v/>
      </c>
      <c r="AG15" s="57" t="str">
        <f aca="false">IF(AND(AG$7=$I15,ISNUMBER($I15)),"◆","")</f>
        <v/>
      </c>
      <c r="AH15" s="57" t="str">
        <f aca="false">IF(AND(AH$7=$I15,ISNUMBER($I15)),"◆","")</f>
        <v/>
      </c>
      <c r="AI15" s="57" t="str">
        <f aca="false">IF(AND(AI$7=$I15,ISNUMBER($I15)),"◆","")</f>
        <v/>
      </c>
      <c r="AJ15" s="57" t="str">
        <f aca="false">IF(AND(AJ$7=$I15,ISNUMBER($I15)),"◆","")</f>
        <v/>
      </c>
      <c r="AK15" s="57" t="str">
        <f aca="false">IF(AND(AK$7=$I15,ISNUMBER($I15)),"◆","")</f>
        <v/>
      </c>
      <c r="AL15" s="57" t="str">
        <f aca="false">IF(AND(AL$7=$I15,ISNUMBER($I15)),"◆","")</f>
        <v/>
      </c>
      <c r="AM15" s="57" t="str">
        <f aca="false">IF(AND(AM$7=$I15,ISNUMBER($I15)),"◆","")</f>
        <v/>
      </c>
      <c r="AN15" s="57" t="str">
        <f aca="false">IF(AND(AN$7=$I15,ISNUMBER($I15)),"◆","")</f>
        <v/>
      </c>
      <c r="AO15" s="57" t="str">
        <f aca="false">IF(AND(AO$7=$I15,ISNUMBER($I15)),"◆","")</f>
        <v/>
      </c>
      <c r="AP15" s="57" t="str">
        <f aca="false">IF(AND(AP$7=$I15,ISNUMBER($I15)),"◆","")</f>
        <v/>
      </c>
      <c r="AQ15" s="57" t="str">
        <f aca="false">IF(AND(AQ$7=$I15,ISNUMBER($I15)),"◆","")</f>
        <v/>
      </c>
      <c r="AR15" s="57" t="str">
        <f aca="false">IF(AND(AR$7=$I15,ISNUMBER($I15)),"◆","")</f>
        <v/>
      </c>
      <c r="AS15" s="57" t="str">
        <f aca="false">IF(AND(AS$7=$I15,ISNUMBER($I15)),"◆","")</f>
        <v/>
      </c>
      <c r="AT15" s="57" t="str">
        <f aca="false">IF(AND(AT$7=$I15,ISNUMBER($I15)),"◆","")</f>
        <v/>
      </c>
      <c r="AU15" s="57" t="str">
        <f aca="false">IF(AND(AU$7=$I15,ISNUMBER($I15)),"◆","")</f>
        <v/>
      </c>
      <c r="AV15" s="57" t="str">
        <f aca="false">IF(AND(AV$7=$I15,ISNUMBER($I15)),"◆","")</f>
        <v/>
      </c>
      <c r="AW15" s="57" t="str">
        <f aca="false">IF(AND(AW$7=$I15,ISNUMBER($I15)),"◆","")</f>
        <v/>
      </c>
      <c r="AX15" s="57" t="str">
        <f aca="false">IF(AND(AX$7=$I15,ISNUMBER($I15)),"◆","")</f>
        <v/>
      </c>
      <c r="AY15" s="57" t="str">
        <f aca="false">IF(AND(AY$7=$I15,ISNUMBER($I15)),"◆","")</f>
        <v/>
      </c>
      <c r="AZ15" s="57" t="str">
        <f aca="false">IF(AND(AZ$7=$I15,ISNUMBER($I15)),"◆","")</f>
        <v/>
      </c>
      <c r="BA15" s="57" t="str">
        <f aca="false">IF(AND(BA$7=$I15,ISNUMBER($I15)),"◆","")</f>
        <v>◆</v>
      </c>
      <c r="BB15" s="57" t="str">
        <f aca="false">IF(AND(BB$7=$I15,ISNUMBER($I15)),"◆","")</f>
        <v/>
      </c>
      <c r="BC15" s="57" t="str">
        <f aca="false">IF(AND(BC$7=$I15,ISNUMBER($I15)),"◆","")</f>
        <v/>
      </c>
      <c r="BD15" s="57" t="str">
        <f aca="false">IF(AND(BD$7=$I15,ISNUMBER($I15)),"◆","")</f>
        <v/>
      </c>
      <c r="BE15" s="57" t="str">
        <f aca="false">IF(AND(BE$7=$I15,ISNUMBER($I15)),"◆","")</f>
        <v/>
      </c>
      <c r="BF15" s="57" t="str">
        <f aca="false">IF(AND(BF$7=$I15,ISNUMBER($I15)),"◆","")</f>
        <v/>
      </c>
      <c r="BG15" s="57" t="str">
        <f aca="false">IF(AND(BG$7=$I15,ISNUMBER($I15)),"◆","")</f>
        <v/>
      </c>
      <c r="BH15" s="57" t="str">
        <f aca="false">IF(AND(BH$7=$I15,ISNUMBER($I15)),"◆","")</f>
        <v/>
      </c>
      <c r="BI15" s="57" t="str">
        <f aca="false">IF(AND(BI$7=$I15,ISNUMBER($I15)),"◆","")</f>
        <v/>
      </c>
      <c r="BJ15" s="57" t="str">
        <f aca="false">IF(AND(BJ$7=$I15,ISNUMBER($I15)),"◆","")</f>
        <v/>
      </c>
      <c r="BK15" s="57" t="str">
        <f aca="false">IF(AND(BK$7=$I15,ISNUMBER($I15)),"◆","")</f>
        <v/>
      </c>
      <c r="BL15" s="57" t="str">
        <f aca="false">IF(AND(BL$7=$I15,ISNUMBER($I15)),"◆","")</f>
        <v/>
      </c>
      <c r="BM15" s="57" t="str">
        <f aca="false">IF(AND(BM$7=$I15,ISNUMBER($I15)),"◆","")</f>
        <v/>
      </c>
      <c r="BN15" s="57" t="str">
        <f aca="false">IF(AND(BN$7=$I15,ISNUMBER($I15)),"◆","")</f>
        <v/>
      </c>
      <c r="BO15" s="57" t="str">
        <f aca="false">IF(AND(BO$7=$I15,ISNUMBER($I15)),"◆","")</f>
        <v/>
      </c>
      <c r="BP15" s="57" t="str">
        <f aca="false">IF(AND(BP$7=$I15,ISNUMBER($I15)),"◆","")</f>
        <v/>
      </c>
      <c r="BQ15" s="57" t="str">
        <f aca="false">IF(AND(BQ$7=$I15,ISNUMBER($I15)),"◆","")</f>
        <v/>
      </c>
      <c r="BR15" s="57" t="str">
        <f aca="false">IF(AND(BR$7=$I15,ISNUMBER($I15)),"◆","")</f>
        <v/>
      </c>
      <c r="BS15" s="57" t="str">
        <f aca="false">IF(AND(BS$7=$I15,ISNUMBER($I15)),"◆","")</f>
        <v/>
      </c>
      <c r="BT15" s="57" t="str">
        <f aca="false">IF(AND(BT$7=$I15,ISNUMBER($I15)),"◆","")</f>
        <v/>
      </c>
      <c r="BU15" s="57" t="str">
        <f aca="false">IF(AND(BU$7=$I15,ISNUMBER($I15)),"◆","")</f>
        <v/>
      </c>
      <c r="BV15" s="57" t="str">
        <f aca="false">IF(AND(BV$7=$I15,ISNUMBER($I15)),"◆","")</f>
        <v/>
      </c>
      <c r="BW15" s="57" t="str">
        <f aca="false">IF(AND(BW$7=$I15,ISNUMBER($I15)),"◆","")</f>
        <v/>
      </c>
      <c r="BX15" s="57" t="str">
        <f aca="false">IF(AND(BX$7=$I15,ISNUMBER($I15)),"◆","")</f>
        <v/>
      </c>
      <c r="BY15" s="57" t="str">
        <f aca="false">IF(AND(BY$7=$I15,ISNUMBER($I15)),"◆","")</f>
        <v/>
      </c>
      <c r="BZ15" s="57" t="str">
        <f aca="false">IF(AND(BZ$7=$I15,ISNUMBER($I15)),"◆","")</f>
        <v/>
      </c>
      <c r="CA15" s="57" t="str">
        <f aca="false">IF(AND(CA$7=$I15,ISNUMBER($I15)),"◆","")</f>
        <v/>
      </c>
      <c r="CB15" s="57" t="str">
        <f aca="false">IF(AND(CB$7=$I15,ISNUMBER($I15)),"◆","")</f>
        <v/>
      </c>
      <c r="CC15" s="57" t="str">
        <f aca="false">IF(AND(CC$7=$I15,ISNUMBER($I15)),"◆","")</f>
        <v/>
      </c>
      <c r="CD15" s="57" t="str">
        <f aca="false">IF(AND(CD$7=$I15,ISNUMBER($I15)),"◆","")</f>
        <v/>
      </c>
      <c r="CE15" s="57" t="str">
        <f aca="false">IF(AND(CE$7=$I15,ISNUMBER($I15)),"◆","")</f>
        <v/>
      </c>
      <c r="CF15" s="57" t="str">
        <f aca="false">IF(AND(CF$7=$I15,ISNUMBER($I15)),"◆","")</f>
        <v/>
      </c>
      <c r="CG15" s="57" t="str">
        <f aca="false">IF(AND(CG$7=$I15,ISNUMBER($I15)),"◆","")</f>
        <v/>
      </c>
      <c r="CH15" s="57" t="str">
        <f aca="false">IF(AND(CH$7=$I15,ISNUMBER($I15)),"◆","")</f>
        <v/>
      </c>
      <c r="CI15" s="57" t="str">
        <f aca="false">IF(AND(CI$7=$I15,ISNUMBER($I15)),"◆","")</f>
        <v/>
      </c>
      <c r="CJ15" s="57" t="str">
        <f aca="false">IF(AND(CJ$7=$I15,ISNUMBER($I15)),"◆","")</f>
        <v/>
      </c>
      <c r="CK15" s="57" t="str">
        <f aca="false">IF(AND(CK$7=$I15,ISNUMBER($I15)),"◆","")</f>
        <v/>
      </c>
      <c r="CL15" s="57" t="str">
        <f aca="false">IF(AND(CL$7=$I15,ISNUMBER($I15)),"◆","")</f>
        <v/>
      </c>
      <c r="CM15" s="57" t="str">
        <f aca="false">IF(AND(CM$7=$I15,ISNUMBER($I15)),"◆","")</f>
        <v/>
      </c>
      <c r="CN15" s="57" t="str">
        <f aca="false">IF(AND(CN$7=$I15,ISNUMBER($I15)),"◆","")</f>
        <v/>
      </c>
      <c r="CO15" s="57" t="str">
        <f aca="false">IF(AND(CO$7=$I15,ISNUMBER($I15)),"◆","")</f>
        <v/>
      </c>
      <c r="CP15" s="57" t="str">
        <f aca="false">IF(AND(CP$7=$I15,ISNUMBER($I15)),"◆","")</f>
        <v/>
      </c>
      <c r="CQ15" s="57" t="str">
        <f aca="false">IF(AND(CQ$7=$I15,ISNUMBER($I15)),"◆","")</f>
        <v/>
      </c>
      <c r="CR15" s="57" t="str">
        <f aca="false">IF(AND(CR$7=$I15,ISNUMBER($I15)),"◆","")</f>
        <v/>
      </c>
      <c r="CS15" s="57" t="str">
        <f aca="false">IF(AND(CS$7=$I15,ISNUMBER($I15)),"◆","")</f>
        <v/>
      </c>
      <c r="CT15" s="57" t="str">
        <f aca="false">IF(AND(CT$7=$I15,ISNUMBER($I15)),"◆","")</f>
        <v/>
      </c>
      <c r="CU15" s="57" t="str">
        <f aca="false">IF(AND(CU$7=$I15,ISNUMBER($I15)),"◆","")</f>
        <v/>
      </c>
      <c r="CV15" s="57" t="str">
        <f aca="false">IF(AND(CV$7=$I15,ISNUMBER($I15)),"◆","")</f>
        <v/>
      </c>
      <c r="CW15" s="57" t="str">
        <f aca="false">IF(AND(CW$7=$I15,ISNUMBER($I15)),"◆","")</f>
        <v/>
      </c>
      <c r="CX15" s="57" t="str">
        <f aca="false">IF(AND(CX$7=$I15,ISNUMBER($I15)),"◆","")</f>
        <v/>
      </c>
      <c r="CY15" s="57" t="str">
        <f aca="false">IF(AND(CY$7=$I15,ISNUMBER($I15)),"◆","")</f>
        <v/>
      </c>
      <c r="CZ15" s="57" t="str">
        <f aca="false">IF(AND(CZ$7=$I15,ISNUMBER($I15)),"◆","")</f>
        <v/>
      </c>
      <c r="DA15" s="57" t="str">
        <f aca="false">IF(AND(DA$7=$I15,ISNUMBER($I15)),"◆","")</f>
        <v/>
      </c>
      <c r="DB15" s="57" t="str">
        <f aca="false">IF(AND(DB$7=$I15,ISNUMBER($I15)),"◆","")</f>
        <v/>
      </c>
      <c r="DC15" s="57" t="str">
        <f aca="false">IF(AND(DC$7=$I15,ISNUMBER($I15)),"◆","")</f>
        <v/>
      </c>
      <c r="DD15" s="57" t="str">
        <f aca="false">IF(AND(DD$7=$I15,ISNUMBER($I15)),"◆","")</f>
        <v/>
      </c>
      <c r="DE15" s="57" t="str">
        <f aca="false">IF(AND(DE$7=$I15,ISNUMBER($I15)),"◆","")</f>
        <v/>
      </c>
      <c r="DF15" s="57" t="str">
        <f aca="false">IF(AND(DF$7=$I15,ISNUMBER($I15)),"◆","")</f>
        <v/>
      </c>
      <c r="DG15" s="57" t="str">
        <f aca="false">IF(AND(DG$7=$I15,ISNUMBER($I15)),"◆","")</f>
        <v/>
      </c>
      <c r="DH15" s="57" t="str">
        <f aca="false">IF(AND(DH$7=$I15,ISNUMBER($I15)),"◆","")</f>
        <v/>
      </c>
      <c r="DI15" s="57" t="str">
        <f aca="false">IF(AND(DI$7=$I15,ISNUMBER($I15)),"◆","")</f>
        <v/>
      </c>
      <c r="DJ15" s="57" t="str">
        <f aca="false">IF(AND(DJ$7=$I15,ISNUMBER($I15)),"◆","")</f>
        <v/>
      </c>
      <c r="DK15" s="57" t="str">
        <f aca="false">IF(AND(DK$7=$I15,ISNUMBER($I15)),"◆","")</f>
        <v/>
      </c>
      <c r="DL15" s="57" t="str">
        <f aca="false">IF(AND(DL$7=$I15,ISNUMBER($I15)),"◆","")</f>
        <v/>
      </c>
      <c r="DM15" s="57" t="str">
        <f aca="false">IF(AND(DM$7=$I15,ISNUMBER($I15)),"◆","")</f>
        <v/>
      </c>
      <c r="DN15" s="57" t="str">
        <f aca="false">IF(AND(DN$7=$I15,ISNUMBER($I15)),"◆","")</f>
        <v/>
      </c>
      <c r="DO15" s="57" t="str">
        <f aca="false">IF(AND(DO$7=$I15,ISNUMBER($I15)),"◆","")</f>
        <v/>
      </c>
      <c r="DP15" s="57" t="str">
        <f aca="false">IF(AND(DP$7=$I15,ISNUMBER($I15)),"◆","")</f>
        <v/>
      </c>
      <c r="DQ15" s="57" t="str">
        <f aca="false">IF(AND(DQ$7=$I15,ISNUMBER($I15)),"◆","")</f>
        <v/>
      </c>
      <c r="DR15" s="57" t="str">
        <f aca="false">IF(AND(DR$7=$I15,ISNUMBER($I15)),"◆","")</f>
        <v/>
      </c>
      <c r="DS15" s="57" t="str">
        <f aca="false">IF(AND(DS$7=$I15,ISNUMBER($I15)),"◆","")</f>
        <v/>
      </c>
      <c r="DT15" s="57" t="str">
        <f aca="false">IF(AND(DT$7=$I15,ISNUMBER($I15)),"◆","")</f>
        <v/>
      </c>
      <c r="DU15" s="57" t="str">
        <f aca="false">IF(AND(DU$7=$I15,ISNUMBER($I15)),"◆","")</f>
        <v/>
      </c>
      <c r="DV15" s="57" t="str">
        <f aca="false">IF(AND(DV$7=$I15,ISNUMBER($I15)),"◆","")</f>
        <v/>
      </c>
      <c r="DW15" s="57" t="str">
        <f aca="false">IF(AND(DW$7=$I15,ISNUMBER($I15)),"◆","")</f>
        <v/>
      </c>
      <c r="DX15" s="57" t="str">
        <f aca="false">IF(AND(DX$7=$I15,ISNUMBER($I15)),"◆","")</f>
        <v/>
      </c>
      <c r="DY15" s="57" t="str">
        <f aca="false">IF(AND(DY$7=$I15,ISNUMBER($I15)),"◆","")</f>
        <v/>
      </c>
      <c r="DZ15" s="57" t="str">
        <f aca="false">IF(AND(DZ$7=$I15,ISNUMBER($I15)),"◆","")</f>
        <v/>
      </c>
      <c r="EA15" s="57" t="str">
        <f aca="false">IF(AND(EA$7=$I15,ISNUMBER($I15)),"◆","")</f>
        <v/>
      </c>
      <c r="EB15" s="57" t="str">
        <f aca="false">IF(AND(EB$7=$I15,ISNUMBER($I15)),"◆","")</f>
        <v/>
      </c>
      <c r="EC15" s="57" t="str">
        <f aca="false">IF(AND(EC$7=$I15,ISNUMBER($I15)),"◆","")</f>
        <v/>
      </c>
      <c r="ED15" s="57" t="str">
        <f aca="false">IF(AND(ED$7=$I15,ISNUMBER($I15)),"◆","")</f>
        <v/>
      </c>
      <c r="EE15" s="57" t="str">
        <f aca="false">IF(AND(EE$7=$I15,ISNUMBER($I15)),"◆","")</f>
        <v/>
      </c>
      <c r="EF15" s="57" t="str">
        <f aca="false">IF(AND(EF$7=$I15,ISNUMBER($I15)),"◆","")</f>
        <v/>
      </c>
      <c r="EG15" s="57" t="str">
        <f aca="false">IF(AND(EG$7=$I15,ISNUMBER($I15)),"◆","")</f>
        <v/>
      </c>
      <c r="EH15" s="57" t="str">
        <f aca="false">IF(AND(EH$7=$I15,ISNUMBER($I15)),"◆","")</f>
        <v/>
      </c>
      <c r="EI15" s="57" t="str">
        <f aca="false">IF(AND(EI$7=$I15,ISNUMBER($I15)),"◆","")</f>
        <v/>
      </c>
      <c r="EJ15" s="57" t="str">
        <f aca="false">IF(AND(EJ$7=$I15,ISNUMBER($I15)),"◆","")</f>
        <v/>
      </c>
      <c r="EK15" s="57" t="str">
        <f aca="false">IF(AND(EK$7=$I15,ISNUMBER($I15)),"◆","")</f>
        <v/>
      </c>
      <c r="EL15" s="57" t="str">
        <f aca="false">IF(AND(EL$7=$I15,ISNUMBER($I15)),"◆","")</f>
        <v/>
      </c>
      <c r="EM15" s="57" t="str">
        <f aca="false">IF(AND(EM$7=$I15,ISNUMBER($I15)),"◆","")</f>
        <v/>
      </c>
      <c r="EN15" s="57" t="str">
        <f aca="false">IF(AND(EN$7=$I15,ISNUMBER($I15)),"◆","")</f>
        <v/>
      </c>
      <c r="EO15" s="57" t="str">
        <f aca="false">IF(AND(EO$7=$I15,ISNUMBER($I15)),"◆","")</f>
        <v/>
      </c>
      <c r="EP15" s="57" t="str">
        <f aca="false">IF(AND(EP$7=$I15,ISNUMBER($I15)),"◆","")</f>
        <v/>
      </c>
      <c r="EQ15" s="57" t="str">
        <f aca="false">IF(AND(EQ$7=$I15,ISNUMBER($I15)),"◆","")</f>
        <v/>
      </c>
      <c r="ER15" s="57" t="str">
        <f aca="false">IF(AND(ER$7=$I15,ISNUMBER($I15)),"◆","")</f>
        <v/>
      </c>
      <c r="ES15" s="57" t="str">
        <f aca="false">IF(AND(ES$7=$I15,ISNUMBER($I15)),"◆","")</f>
        <v/>
      </c>
      <c r="ET15" s="57" t="str">
        <f aca="false">IF(AND(ET$7=$I15,ISNUMBER($I15)),"◆","")</f>
        <v/>
      </c>
      <c r="EU15" s="57" t="str">
        <f aca="false">IF(AND(EU$7=$I15,ISNUMBER($I15)),"◆","")</f>
        <v/>
      </c>
      <c r="EV15" s="57" t="str">
        <f aca="false">IF(AND(EV$7=$I15,ISNUMBER($I15)),"◆","")</f>
        <v/>
      </c>
      <c r="EW15" s="57" t="str">
        <f aca="false">IF(AND(EW$7=$I15,ISNUMBER($I15)),"◆","")</f>
        <v/>
      </c>
      <c r="EX15" s="57" t="str">
        <f aca="false">IF(AND(EX$7=$I15,ISNUMBER($I15)),"◆","")</f>
        <v/>
      </c>
      <c r="EY15" s="57" t="str">
        <f aca="false">IF(AND(EY$7=$I15,ISNUMBER($I15)),"◆","")</f>
        <v/>
      </c>
      <c r="EZ15" s="57" t="str">
        <f aca="false">IF(AND(EZ$7=$I15,ISNUMBER($I15)),"◆","")</f>
        <v/>
      </c>
      <c r="FA15" s="57" t="str">
        <f aca="false">IF(AND(FA$7=$I15,ISNUMBER($I15)),"◆","")</f>
        <v/>
      </c>
      <c r="FB15" s="57" t="str">
        <f aca="false">IF(AND(FB$7=$I15,ISNUMBER($I15)),"◆","")</f>
        <v/>
      </c>
      <c r="FC15" s="57" t="str">
        <f aca="false">IF(AND(FC$7=$I15,ISNUMBER($I15)),"◆","")</f>
        <v/>
      </c>
      <c r="FD15" s="57" t="str">
        <f aca="false">IF(AND(FD$7=$I15,ISNUMBER($I15)),"◆","")</f>
        <v/>
      </c>
      <c r="FE15" s="57" t="str">
        <f aca="false">IF(AND(FE$7=$I15,ISNUMBER($I15)),"◆","")</f>
        <v/>
      </c>
      <c r="FF15" s="57" t="str">
        <f aca="false">IF(AND(FF$7=$I15,ISNUMBER($I15)),"◆","")</f>
        <v/>
      </c>
      <c r="FG15" s="57" t="str">
        <f aca="false">IF(AND(FG$7=$I15,ISNUMBER($I15)),"◆","")</f>
        <v/>
      </c>
      <c r="FH15" s="57" t="str">
        <f aca="false">IF(AND(FH$7=$I15,ISNUMBER($I15)),"◆","")</f>
        <v/>
      </c>
      <c r="FI15" s="57" t="str">
        <f aca="false">IF(AND(FI$7=$I15,ISNUMBER($I15)),"◆","")</f>
        <v/>
      </c>
      <c r="FJ15" s="57" t="str">
        <f aca="false">IF(AND(FJ$7=$I15,ISNUMBER($I15)),"◆","")</f>
        <v/>
      </c>
      <c r="FK15" s="57" t="str">
        <f aca="false">IF(AND(FK$7=$I15,ISNUMBER($I15)),"◆","")</f>
        <v/>
      </c>
      <c r="FL15" s="57" t="str">
        <f aca="false">IF(AND(FL$7=$I15,ISNUMBER($I15)),"◆","")</f>
        <v/>
      </c>
      <c r="FM15" s="57" t="str">
        <f aca="false">IF(AND(FM$7=$I15,ISNUMBER($I15)),"◆","")</f>
        <v/>
      </c>
      <c r="FN15" s="57" t="str">
        <f aca="false">IF(AND(FN$7=$I15,ISNUMBER($I15)),"◆","")</f>
        <v/>
      </c>
      <c r="FO15" s="57" t="str">
        <f aca="false">IF(AND(FO$7=$I15,ISNUMBER($I15)),"◆","")</f>
        <v/>
      </c>
      <c r="FP15" s="57" t="str">
        <f aca="false">IF(AND(FP$7=$I15,ISNUMBER($I15)),"◆","")</f>
        <v/>
      </c>
      <c r="FQ15" s="57" t="str">
        <f aca="false">IF(AND(FQ$7=$I15,ISNUMBER($I15)),"◆","")</f>
        <v/>
      </c>
      <c r="FR15" s="57" t="str">
        <f aca="false">IF(AND(FR$7=$I15,ISNUMBER($I15)),"◆","")</f>
        <v/>
      </c>
      <c r="FS15" s="57" t="str">
        <f aca="false">IF(AND(FS$7=$I15,ISNUMBER($I15)),"◆","")</f>
        <v/>
      </c>
      <c r="FT15" s="57" t="str">
        <f aca="false">IF(AND(FT$7=$I15,ISNUMBER($I15)),"◆","")</f>
        <v/>
      </c>
      <c r="FU15" s="57" t="str">
        <f aca="false">IF(AND(FU$7=$I15,ISNUMBER($I15)),"◆","")</f>
        <v/>
      </c>
      <c r="FV15" s="57" t="str">
        <f aca="false">IF(AND(FV$7=$I15,ISNUMBER($I15)),"◆","")</f>
        <v/>
      </c>
    </row>
    <row r="16" customFormat="false" ht="25.5" hidden="false" customHeight="true" outlineLevel="0" collapsed="false">
      <c r="A16" s="50" t="str">
        <f aca="false">制作工程表!A14</f>
        <v>T06</v>
      </c>
      <c r="B16" s="51" t="str">
        <f aca="false">制作工程表!B14</f>
        <v>資料提供</v>
      </c>
      <c r="C16" s="52" t="str">
        <f aca="false">制作工程表!C14</f>
        <v>製品仕様・資料のご提供</v>
      </c>
      <c r="D16" s="53" t="str">
        <f aca="false">制作工程表!D14</f>
        <v>技術営業課</v>
      </c>
      <c r="E16" s="53" t="str">
        <f aca="false">制作工程表!E14</f>
        <v>品質管理課</v>
      </c>
      <c r="F16" s="54" t="str">
        <f aca="false">IF(制作工程表!B14="取材撮影","撮影",IF(OR(制作工程表!D14="広報窓口",制作工程表!D14="代表",制作工程表!D14="技術営業課",制作工程表!D14="品質管理課",制作工程表!D14="製造部"),"企業","制作"))</f>
        <v>企業</v>
      </c>
      <c r="G16" s="55" t="n">
        <f aca="false">制作工程表!G14</f>
        <v>46351</v>
      </c>
      <c r="H16" s="55" t="n">
        <f aca="false">制作工程表!H14</f>
        <v>46370</v>
      </c>
      <c r="I16" s="56" t="n">
        <f aca="false">制作工程表!I14</f>
        <v>46370</v>
      </c>
      <c r="J16" s="51" t="str">
        <f aca="false">制作工程表!K14</f>
        <v>未着手</v>
      </c>
      <c r="K16" s="57" t="str">
        <f aca="false">IF(AND(K$7=$I16,ISNUMBER($I16)),"◆","")</f>
        <v/>
      </c>
      <c r="L16" s="57" t="str">
        <f aca="false">IF(AND(L$7=$I16,ISNUMBER($I16)),"◆","")</f>
        <v/>
      </c>
      <c r="M16" s="57" t="str">
        <f aca="false">IF(AND(M$7=$I16,ISNUMBER($I16)),"◆","")</f>
        <v/>
      </c>
      <c r="N16" s="57" t="str">
        <f aca="false">IF(AND(N$7=$I16,ISNUMBER($I16)),"◆","")</f>
        <v/>
      </c>
      <c r="O16" s="57" t="str">
        <f aca="false">IF(AND(O$7=$I16,ISNUMBER($I16)),"◆","")</f>
        <v/>
      </c>
      <c r="P16" s="57" t="str">
        <f aca="false">IF(AND(P$7=$I16,ISNUMBER($I16)),"◆","")</f>
        <v/>
      </c>
      <c r="Q16" s="57" t="str">
        <f aca="false">IF(AND(Q$7=$I16,ISNUMBER($I16)),"◆","")</f>
        <v/>
      </c>
      <c r="R16" s="57" t="str">
        <f aca="false">IF(AND(R$7=$I16,ISNUMBER($I16)),"◆","")</f>
        <v/>
      </c>
      <c r="S16" s="57" t="str">
        <f aca="false">IF(AND(S$7=$I16,ISNUMBER($I16)),"◆","")</f>
        <v/>
      </c>
      <c r="T16" s="57" t="str">
        <f aca="false">IF(AND(T$7=$I16,ISNUMBER($I16)),"◆","")</f>
        <v/>
      </c>
      <c r="U16" s="57" t="str">
        <f aca="false">IF(AND(U$7=$I16,ISNUMBER($I16)),"◆","")</f>
        <v/>
      </c>
      <c r="V16" s="57" t="str">
        <f aca="false">IF(AND(V$7=$I16,ISNUMBER($I16)),"◆","")</f>
        <v/>
      </c>
      <c r="W16" s="57" t="str">
        <f aca="false">IF(AND(W$7=$I16,ISNUMBER($I16)),"◆","")</f>
        <v/>
      </c>
      <c r="X16" s="57" t="str">
        <f aca="false">IF(AND(X$7=$I16,ISNUMBER($I16)),"◆","")</f>
        <v/>
      </c>
      <c r="Y16" s="57" t="str">
        <f aca="false">IF(AND(Y$7=$I16,ISNUMBER($I16)),"◆","")</f>
        <v/>
      </c>
      <c r="Z16" s="57" t="str">
        <f aca="false">IF(AND(Z$7=$I16,ISNUMBER($I16)),"◆","")</f>
        <v/>
      </c>
      <c r="AA16" s="57" t="str">
        <f aca="false">IF(AND(AA$7=$I16,ISNUMBER($I16)),"◆","")</f>
        <v/>
      </c>
      <c r="AB16" s="57" t="str">
        <f aca="false">IF(AND(AB$7=$I16,ISNUMBER($I16)),"◆","")</f>
        <v/>
      </c>
      <c r="AC16" s="57" t="str">
        <f aca="false">IF(AND(AC$7=$I16,ISNUMBER($I16)),"◆","")</f>
        <v/>
      </c>
      <c r="AD16" s="57" t="str">
        <f aca="false">IF(AND(AD$7=$I16,ISNUMBER($I16)),"◆","")</f>
        <v/>
      </c>
      <c r="AE16" s="57" t="str">
        <f aca="false">IF(AND(AE$7=$I16,ISNUMBER($I16)),"◆","")</f>
        <v/>
      </c>
      <c r="AF16" s="57" t="str">
        <f aca="false">IF(AND(AF$7=$I16,ISNUMBER($I16)),"◆","")</f>
        <v/>
      </c>
      <c r="AG16" s="57" t="str">
        <f aca="false">IF(AND(AG$7=$I16,ISNUMBER($I16)),"◆","")</f>
        <v/>
      </c>
      <c r="AH16" s="57" t="str">
        <f aca="false">IF(AND(AH$7=$I16,ISNUMBER($I16)),"◆","")</f>
        <v/>
      </c>
      <c r="AI16" s="57" t="str">
        <f aca="false">IF(AND(AI$7=$I16,ISNUMBER($I16)),"◆","")</f>
        <v/>
      </c>
      <c r="AJ16" s="57" t="str">
        <f aca="false">IF(AND(AJ$7=$I16,ISNUMBER($I16)),"◆","")</f>
        <v/>
      </c>
      <c r="AK16" s="57" t="str">
        <f aca="false">IF(AND(AK$7=$I16,ISNUMBER($I16)),"◆","")</f>
        <v/>
      </c>
      <c r="AL16" s="57" t="str">
        <f aca="false">IF(AND(AL$7=$I16,ISNUMBER($I16)),"◆","")</f>
        <v/>
      </c>
      <c r="AM16" s="57" t="str">
        <f aca="false">IF(AND(AM$7=$I16,ISNUMBER($I16)),"◆","")</f>
        <v/>
      </c>
      <c r="AN16" s="57" t="str">
        <f aca="false">IF(AND(AN$7=$I16,ISNUMBER($I16)),"◆","")</f>
        <v/>
      </c>
      <c r="AO16" s="57" t="str">
        <f aca="false">IF(AND(AO$7=$I16,ISNUMBER($I16)),"◆","")</f>
        <v/>
      </c>
      <c r="AP16" s="57" t="str">
        <f aca="false">IF(AND(AP$7=$I16,ISNUMBER($I16)),"◆","")</f>
        <v/>
      </c>
      <c r="AQ16" s="57" t="str">
        <f aca="false">IF(AND(AQ$7=$I16,ISNUMBER($I16)),"◆","")</f>
        <v/>
      </c>
      <c r="AR16" s="57" t="str">
        <f aca="false">IF(AND(AR$7=$I16,ISNUMBER($I16)),"◆","")</f>
        <v/>
      </c>
      <c r="AS16" s="57" t="str">
        <f aca="false">IF(AND(AS$7=$I16,ISNUMBER($I16)),"◆","")</f>
        <v/>
      </c>
      <c r="AT16" s="57" t="str">
        <f aca="false">IF(AND(AT$7=$I16,ISNUMBER($I16)),"◆","")</f>
        <v/>
      </c>
      <c r="AU16" s="57" t="str">
        <f aca="false">IF(AND(AU$7=$I16,ISNUMBER($I16)),"◆","")</f>
        <v/>
      </c>
      <c r="AV16" s="57" t="str">
        <f aca="false">IF(AND(AV$7=$I16,ISNUMBER($I16)),"◆","")</f>
        <v/>
      </c>
      <c r="AW16" s="57" t="str">
        <f aca="false">IF(AND(AW$7=$I16,ISNUMBER($I16)),"◆","")</f>
        <v/>
      </c>
      <c r="AX16" s="57" t="str">
        <f aca="false">IF(AND(AX$7=$I16,ISNUMBER($I16)),"◆","")</f>
        <v/>
      </c>
      <c r="AY16" s="57" t="str">
        <f aca="false">IF(AND(AY$7=$I16,ISNUMBER($I16)),"◆","")</f>
        <v/>
      </c>
      <c r="AZ16" s="57" t="str">
        <f aca="false">IF(AND(AZ$7=$I16,ISNUMBER($I16)),"◆","")</f>
        <v/>
      </c>
      <c r="BA16" s="57" t="str">
        <f aca="false">IF(AND(BA$7=$I16,ISNUMBER($I16)),"◆","")</f>
        <v>◆</v>
      </c>
      <c r="BB16" s="57" t="str">
        <f aca="false">IF(AND(BB$7=$I16,ISNUMBER($I16)),"◆","")</f>
        <v/>
      </c>
      <c r="BC16" s="57" t="str">
        <f aca="false">IF(AND(BC$7=$I16,ISNUMBER($I16)),"◆","")</f>
        <v/>
      </c>
      <c r="BD16" s="57" t="str">
        <f aca="false">IF(AND(BD$7=$I16,ISNUMBER($I16)),"◆","")</f>
        <v/>
      </c>
      <c r="BE16" s="57" t="str">
        <f aca="false">IF(AND(BE$7=$I16,ISNUMBER($I16)),"◆","")</f>
        <v/>
      </c>
      <c r="BF16" s="57" t="str">
        <f aca="false">IF(AND(BF$7=$I16,ISNUMBER($I16)),"◆","")</f>
        <v/>
      </c>
      <c r="BG16" s="57" t="str">
        <f aca="false">IF(AND(BG$7=$I16,ISNUMBER($I16)),"◆","")</f>
        <v/>
      </c>
      <c r="BH16" s="57" t="str">
        <f aca="false">IF(AND(BH$7=$I16,ISNUMBER($I16)),"◆","")</f>
        <v/>
      </c>
      <c r="BI16" s="57" t="str">
        <f aca="false">IF(AND(BI$7=$I16,ISNUMBER($I16)),"◆","")</f>
        <v/>
      </c>
      <c r="BJ16" s="57" t="str">
        <f aca="false">IF(AND(BJ$7=$I16,ISNUMBER($I16)),"◆","")</f>
        <v/>
      </c>
      <c r="BK16" s="57" t="str">
        <f aca="false">IF(AND(BK$7=$I16,ISNUMBER($I16)),"◆","")</f>
        <v/>
      </c>
      <c r="BL16" s="57" t="str">
        <f aca="false">IF(AND(BL$7=$I16,ISNUMBER($I16)),"◆","")</f>
        <v/>
      </c>
      <c r="BM16" s="57" t="str">
        <f aca="false">IF(AND(BM$7=$I16,ISNUMBER($I16)),"◆","")</f>
        <v/>
      </c>
      <c r="BN16" s="57" t="str">
        <f aca="false">IF(AND(BN$7=$I16,ISNUMBER($I16)),"◆","")</f>
        <v/>
      </c>
      <c r="BO16" s="57" t="str">
        <f aca="false">IF(AND(BO$7=$I16,ISNUMBER($I16)),"◆","")</f>
        <v/>
      </c>
      <c r="BP16" s="57" t="str">
        <f aca="false">IF(AND(BP$7=$I16,ISNUMBER($I16)),"◆","")</f>
        <v/>
      </c>
      <c r="BQ16" s="57" t="str">
        <f aca="false">IF(AND(BQ$7=$I16,ISNUMBER($I16)),"◆","")</f>
        <v/>
      </c>
      <c r="BR16" s="57" t="str">
        <f aca="false">IF(AND(BR$7=$I16,ISNUMBER($I16)),"◆","")</f>
        <v/>
      </c>
      <c r="BS16" s="57" t="str">
        <f aca="false">IF(AND(BS$7=$I16,ISNUMBER($I16)),"◆","")</f>
        <v/>
      </c>
      <c r="BT16" s="57" t="str">
        <f aca="false">IF(AND(BT$7=$I16,ISNUMBER($I16)),"◆","")</f>
        <v/>
      </c>
      <c r="BU16" s="57" t="str">
        <f aca="false">IF(AND(BU$7=$I16,ISNUMBER($I16)),"◆","")</f>
        <v/>
      </c>
      <c r="BV16" s="57" t="str">
        <f aca="false">IF(AND(BV$7=$I16,ISNUMBER($I16)),"◆","")</f>
        <v/>
      </c>
      <c r="BW16" s="57" t="str">
        <f aca="false">IF(AND(BW$7=$I16,ISNUMBER($I16)),"◆","")</f>
        <v/>
      </c>
      <c r="BX16" s="57" t="str">
        <f aca="false">IF(AND(BX$7=$I16,ISNUMBER($I16)),"◆","")</f>
        <v/>
      </c>
      <c r="BY16" s="57" t="str">
        <f aca="false">IF(AND(BY$7=$I16,ISNUMBER($I16)),"◆","")</f>
        <v/>
      </c>
      <c r="BZ16" s="57" t="str">
        <f aca="false">IF(AND(BZ$7=$I16,ISNUMBER($I16)),"◆","")</f>
        <v/>
      </c>
      <c r="CA16" s="57" t="str">
        <f aca="false">IF(AND(CA$7=$I16,ISNUMBER($I16)),"◆","")</f>
        <v/>
      </c>
      <c r="CB16" s="57" t="str">
        <f aca="false">IF(AND(CB$7=$I16,ISNUMBER($I16)),"◆","")</f>
        <v/>
      </c>
      <c r="CC16" s="57" t="str">
        <f aca="false">IF(AND(CC$7=$I16,ISNUMBER($I16)),"◆","")</f>
        <v/>
      </c>
      <c r="CD16" s="57" t="str">
        <f aca="false">IF(AND(CD$7=$I16,ISNUMBER($I16)),"◆","")</f>
        <v/>
      </c>
      <c r="CE16" s="57" t="str">
        <f aca="false">IF(AND(CE$7=$I16,ISNUMBER($I16)),"◆","")</f>
        <v/>
      </c>
      <c r="CF16" s="57" t="str">
        <f aca="false">IF(AND(CF$7=$I16,ISNUMBER($I16)),"◆","")</f>
        <v/>
      </c>
      <c r="CG16" s="57" t="str">
        <f aca="false">IF(AND(CG$7=$I16,ISNUMBER($I16)),"◆","")</f>
        <v/>
      </c>
      <c r="CH16" s="57" t="str">
        <f aca="false">IF(AND(CH$7=$I16,ISNUMBER($I16)),"◆","")</f>
        <v/>
      </c>
      <c r="CI16" s="57" t="str">
        <f aca="false">IF(AND(CI$7=$I16,ISNUMBER($I16)),"◆","")</f>
        <v/>
      </c>
      <c r="CJ16" s="57" t="str">
        <f aca="false">IF(AND(CJ$7=$I16,ISNUMBER($I16)),"◆","")</f>
        <v/>
      </c>
      <c r="CK16" s="57" t="str">
        <f aca="false">IF(AND(CK$7=$I16,ISNUMBER($I16)),"◆","")</f>
        <v/>
      </c>
      <c r="CL16" s="57" t="str">
        <f aca="false">IF(AND(CL$7=$I16,ISNUMBER($I16)),"◆","")</f>
        <v/>
      </c>
      <c r="CM16" s="57" t="str">
        <f aca="false">IF(AND(CM$7=$I16,ISNUMBER($I16)),"◆","")</f>
        <v/>
      </c>
      <c r="CN16" s="57" t="str">
        <f aca="false">IF(AND(CN$7=$I16,ISNUMBER($I16)),"◆","")</f>
        <v/>
      </c>
      <c r="CO16" s="57" t="str">
        <f aca="false">IF(AND(CO$7=$I16,ISNUMBER($I16)),"◆","")</f>
        <v/>
      </c>
      <c r="CP16" s="57" t="str">
        <f aca="false">IF(AND(CP$7=$I16,ISNUMBER($I16)),"◆","")</f>
        <v/>
      </c>
      <c r="CQ16" s="57" t="str">
        <f aca="false">IF(AND(CQ$7=$I16,ISNUMBER($I16)),"◆","")</f>
        <v/>
      </c>
      <c r="CR16" s="57" t="str">
        <f aca="false">IF(AND(CR$7=$I16,ISNUMBER($I16)),"◆","")</f>
        <v/>
      </c>
      <c r="CS16" s="57" t="str">
        <f aca="false">IF(AND(CS$7=$I16,ISNUMBER($I16)),"◆","")</f>
        <v/>
      </c>
      <c r="CT16" s="57" t="str">
        <f aca="false">IF(AND(CT$7=$I16,ISNUMBER($I16)),"◆","")</f>
        <v/>
      </c>
      <c r="CU16" s="57" t="str">
        <f aca="false">IF(AND(CU$7=$I16,ISNUMBER($I16)),"◆","")</f>
        <v/>
      </c>
      <c r="CV16" s="57" t="str">
        <f aca="false">IF(AND(CV$7=$I16,ISNUMBER($I16)),"◆","")</f>
        <v/>
      </c>
      <c r="CW16" s="57" t="str">
        <f aca="false">IF(AND(CW$7=$I16,ISNUMBER($I16)),"◆","")</f>
        <v/>
      </c>
      <c r="CX16" s="57" t="str">
        <f aca="false">IF(AND(CX$7=$I16,ISNUMBER($I16)),"◆","")</f>
        <v/>
      </c>
      <c r="CY16" s="57" t="str">
        <f aca="false">IF(AND(CY$7=$I16,ISNUMBER($I16)),"◆","")</f>
        <v/>
      </c>
      <c r="CZ16" s="57" t="str">
        <f aca="false">IF(AND(CZ$7=$I16,ISNUMBER($I16)),"◆","")</f>
        <v/>
      </c>
      <c r="DA16" s="57" t="str">
        <f aca="false">IF(AND(DA$7=$I16,ISNUMBER($I16)),"◆","")</f>
        <v/>
      </c>
      <c r="DB16" s="57" t="str">
        <f aca="false">IF(AND(DB$7=$I16,ISNUMBER($I16)),"◆","")</f>
        <v/>
      </c>
      <c r="DC16" s="57" t="str">
        <f aca="false">IF(AND(DC$7=$I16,ISNUMBER($I16)),"◆","")</f>
        <v/>
      </c>
      <c r="DD16" s="57" t="str">
        <f aca="false">IF(AND(DD$7=$I16,ISNUMBER($I16)),"◆","")</f>
        <v/>
      </c>
      <c r="DE16" s="57" t="str">
        <f aca="false">IF(AND(DE$7=$I16,ISNUMBER($I16)),"◆","")</f>
        <v/>
      </c>
      <c r="DF16" s="57" t="str">
        <f aca="false">IF(AND(DF$7=$I16,ISNUMBER($I16)),"◆","")</f>
        <v/>
      </c>
      <c r="DG16" s="57" t="str">
        <f aca="false">IF(AND(DG$7=$I16,ISNUMBER($I16)),"◆","")</f>
        <v/>
      </c>
      <c r="DH16" s="57" t="str">
        <f aca="false">IF(AND(DH$7=$I16,ISNUMBER($I16)),"◆","")</f>
        <v/>
      </c>
      <c r="DI16" s="57" t="str">
        <f aca="false">IF(AND(DI$7=$I16,ISNUMBER($I16)),"◆","")</f>
        <v/>
      </c>
      <c r="DJ16" s="57" t="str">
        <f aca="false">IF(AND(DJ$7=$I16,ISNUMBER($I16)),"◆","")</f>
        <v/>
      </c>
      <c r="DK16" s="57" t="str">
        <f aca="false">IF(AND(DK$7=$I16,ISNUMBER($I16)),"◆","")</f>
        <v/>
      </c>
      <c r="DL16" s="57" t="str">
        <f aca="false">IF(AND(DL$7=$I16,ISNUMBER($I16)),"◆","")</f>
        <v/>
      </c>
      <c r="DM16" s="57" t="str">
        <f aca="false">IF(AND(DM$7=$I16,ISNUMBER($I16)),"◆","")</f>
        <v/>
      </c>
      <c r="DN16" s="57" t="str">
        <f aca="false">IF(AND(DN$7=$I16,ISNUMBER($I16)),"◆","")</f>
        <v/>
      </c>
      <c r="DO16" s="57" t="str">
        <f aca="false">IF(AND(DO$7=$I16,ISNUMBER($I16)),"◆","")</f>
        <v/>
      </c>
      <c r="DP16" s="57" t="str">
        <f aca="false">IF(AND(DP$7=$I16,ISNUMBER($I16)),"◆","")</f>
        <v/>
      </c>
      <c r="DQ16" s="57" t="str">
        <f aca="false">IF(AND(DQ$7=$I16,ISNUMBER($I16)),"◆","")</f>
        <v/>
      </c>
      <c r="DR16" s="57" t="str">
        <f aca="false">IF(AND(DR$7=$I16,ISNUMBER($I16)),"◆","")</f>
        <v/>
      </c>
      <c r="DS16" s="57" t="str">
        <f aca="false">IF(AND(DS$7=$I16,ISNUMBER($I16)),"◆","")</f>
        <v/>
      </c>
      <c r="DT16" s="57" t="str">
        <f aca="false">IF(AND(DT$7=$I16,ISNUMBER($I16)),"◆","")</f>
        <v/>
      </c>
      <c r="DU16" s="57" t="str">
        <f aca="false">IF(AND(DU$7=$I16,ISNUMBER($I16)),"◆","")</f>
        <v/>
      </c>
      <c r="DV16" s="57" t="str">
        <f aca="false">IF(AND(DV$7=$I16,ISNUMBER($I16)),"◆","")</f>
        <v/>
      </c>
      <c r="DW16" s="57" t="str">
        <f aca="false">IF(AND(DW$7=$I16,ISNUMBER($I16)),"◆","")</f>
        <v/>
      </c>
      <c r="DX16" s="57" t="str">
        <f aca="false">IF(AND(DX$7=$I16,ISNUMBER($I16)),"◆","")</f>
        <v/>
      </c>
      <c r="DY16" s="57" t="str">
        <f aca="false">IF(AND(DY$7=$I16,ISNUMBER($I16)),"◆","")</f>
        <v/>
      </c>
      <c r="DZ16" s="57" t="str">
        <f aca="false">IF(AND(DZ$7=$I16,ISNUMBER($I16)),"◆","")</f>
        <v/>
      </c>
      <c r="EA16" s="57" t="str">
        <f aca="false">IF(AND(EA$7=$I16,ISNUMBER($I16)),"◆","")</f>
        <v/>
      </c>
      <c r="EB16" s="57" t="str">
        <f aca="false">IF(AND(EB$7=$I16,ISNUMBER($I16)),"◆","")</f>
        <v/>
      </c>
      <c r="EC16" s="57" t="str">
        <f aca="false">IF(AND(EC$7=$I16,ISNUMBER($I16)),"◆","")</f>
        <v/>
      </c>
      <c r="ED16" s="57" t="str">
        <f aca="false">IF(AND(ED$7=$I16,ISNUMBER($I16)),"◆","")</f>
        <v/>
      </c>
      <c r="EE16" s="57" t="str">
        <f aca="false">IF(AND(EE$7=$I16,ISNUMBER($I16)),"◆","")</f>
        <v/>
      </c>
      <c r="EF16" s="57" t="str">
        <f aca="false">IF(AND(EF$7=$I16,ISNUMBER($I16)),"◆","")</f>
        <v/>
      </c>
      <c r="EG16" s="57" t="str">
        <f aca="false">IF(AND(EG$7=$I16,ISNUMBER($I16)),"◆","")</f>
        <v/>
      </c>
      <c r="EH16" s="57" t="str">
        <f aca="false">IF(AND(EH$7=$I16,ISNUMBER($I16)),"◆","")</f>
        <v/>
      </c>
      <c r="EI16" s="57" t="str">
        <f aca="false">IF(AND(EI$7=$I16,ISNUMBER($I16)),"◆","")</f>
        <v/>
      </c>
      <c r="EJ16" s="57" t="str">
        <f aca="false">IF(AND(EJ$7=$I16,ISNUMBER($I16)),"◆","")</f>
        <v/>
      </c>
      <c r="EK16" s="57" t="str">
        <f aca="false">IF(AND(EK$7=$I16,ISNUMBER($I16)),"◆","")</f>
        <v/>
      </c>
      <c r="EL16" s="57" t="str">
        <f aca="false">IF(AND(EL$7=$I16,ISNUMBER($I16)),"◆","")</f>
        <v/>
      </c>
      <c r="EM16" s="57" t="str">
        <f aca="false">IF(AND(EM$7=$I16,ISNUMBER($I16)),"◆","")</f>
        <v/>
      </c>
      <c r="EN16" s="57" t="str">
        <f aca="false">IF(AND(EN$7=$I16,ISNUMBER($I16)),"◆","")</f>
        <v/>
      </c>
      <c r="EO16" s="57" t="str">
        <f aca="false">IF(AND(EO$7=$I16,ISNUMBER($I16)),"◆","")</f>
        <v/>
      </c>
      <c r="EP16" s="57" t="str">
        <f aca="false">IF(AND(EP$7=$I16,ISNUMBER($I16)),"◆","")</f>
        <v/>
      </c>
      <c r="EQ16" s="57" t="str">
        <f aca="false">IF(AND(EQ$7=$I16,ISNUMBER($I16)),"◆","")</f>
        <v/>
      </c>
      <c r="ER16" s="57" t="str">
        <f aca="false">IF(AND(ER$7=$I16,ISNUMBER($I16)),"◆","")</f>
        <v/>
      </c>
      <c r="ES16" s="57" t="str">
        <f aca="false">IF(AND(ES$7=$I16,ISNUMBER($I16)),"◆","")</f>
        <v/>
      </c>
      <c r="ET16" s="57" t="str">
        <f aca="false">IF(AND(ET$7=$I16,ISNUMBER($I16)),"◆","")</f>
        <v/>
      </c>
      <c r="EU16" s="57" t="str">
        <f aca="false">IF(AND(EU$7=$I16,ISNUMBER($I16)),"◆","")</f>
        <v/>
      </c>
      <c r="EV16" s="57" t="str">
        <f aca="false">IF(AND(EV$7=$I16,ISNUMBER($I16)),"◆","")</f>
        <v/>
      </c>
      <c r="EW16" s="57" t="str">
        <f aca="false">IF(AND(EW$7=$I16,ISNUMBER($I16)),"◆","")</f>
        <v/>
      </c>
      <c r="EX16" s="57" t="str">
        <f aca="false">IF(AND(EX$7=$I16,ISNUMBER($I16)),"◆","")</f>
        <v/>
      </c>
      <c r="EY16" s="57" t="str">
        <f aca="false">IF(AND(EY$7=$I16,ISNUMBER($I16)),"◆","")</f>
        <v/>
      </c>
      <c r="EZ16" s="57" t="str">
        <f aca="false">IF(AND(EZ$7=$I16,ISNUMBER($I16)),"◆","")</f>
        <v/>
      </c>
      <c r="FA16" s="57" t="str">
        <f aca="false">IF(AND(FA$7=$I16,ISNUMBER($I16)),"◆","")</f>
        <v/>
      </c>
      <c r="FB16" s="57" t="str">
        <f aca="false">IF(AND(FB$7=$I16,ISNUMBER($I16)),"◆","")</f>
        <v/>
      </c>
      <c r="FC16" s="57" t="str">
        <f aca="false">IF(AND(FC$7=$I16,ISNUMBER($I16)),"◆","")</f>
        <v/>
      </c>
      <c r="FD16" s="57" t="str">
        <f aca="false">IF(AND(FD$7=$I16,ISNUMBER($I16)),"◆","")</f>
        <v/>
      </c>
      <c r="FE16" s="57" t="str">
        <f aca="false">IF(AND(FE$7=$I16,ISNUMBER($I16)),"◆","")</f>
        <v/>
      </c>
      <c r="FF16" s="57" t="str">
        <f aca="false">IF(AND(FF$7=$I16,ISNUMBER($I16)),"◆","")</f>
        <v/>
      </c>
      <c r="FG16" s="57" t="str">
        <f aca="false">IF(AND(FG$7=$I16,ISNUMBER($I16)),"◆","")</f>
        <v/>
      </c>
      <c r="FH16" s="57" t="str">
        <f aca="false">IF(AND(FH$7=$I16,ISNUMBER($I16)),"◆","")</f>
        <v/>
      </c>
      <c r="FI16" s="57" t="str">
        <f aca="false">IF(AND(FI$7=$I16,ISNUMBER($I16)),"◆","")</f>
        <v/>
      </c>
      <c r="FJ16" s="57" t="str">
        <f aca="false">IF(AND(FJ$7=$I16,ISNUMBER($I16)),"◆","")</f>
        <v/>
      </c>
      <c r="FK16" s="57" t="str">
        <f aca="false">IF(AND(FK$7=$I16,ISNUMBER($I16)),"◆","")</f>
        <v/>
      </c>
      <c r="FL16" s="57" t="str">
        <f aca="false">IF(AND(FL$7=$I16,ISNUMBER($I16)),"◆","")</f>
        <v/>
      </c>
      <c r="FM16" s="57" t="str">
        <f aca="false">IF(AND(FM$7=$I16,ISNUMBER($I16)),"◆","")</f>
        <v/>
      </c>
      <c r="FN16" s="57" t="str">
        <f aca="false">IF(AND(FN$7=$I16,ISNUMBER($I16)),"◆","")</f>
        <v/>
      </c>
      <c r="FO16" s="57" t="str">
        <f aca="false">IF(AND(FO$7=$I16,ISNUMBER($I16)),"◆","")</f>
        <v/>
      </c>
      <c r="FP16" s="57" t="str">
        <f aca="false">IF(AND(FP$7=$I16,ISNUMBER($I16)),"◆","")</f>
        <v/>
      </c>
      <c r="FQ16" s="57" t="str">
        <f aca="false">IF(AND(FQ$7=$I16,ISNUMBER($I16)),"◆","")</f>
        <v/>
      </c>
      <c r="FR16" s="57" t="str">
        <f aca="false">IF(AND(FR$7=$I16,ISNUMBER($I16)),"◆","")</f>
        <v/>
      </c>
      <c r="FS16" s="57" t="str">
        <f aca="false">IF(AND(FS$7=$I16,ISNUMBER($I16)),"◆","")</f>
        <v/>
      </c>
      <c r="FT16" s="57" t="str">
        <f aca="false">IF(AND(FT$7=$I16,ISNUMBER($I16)),"◆","")</f>
        <v/>
      </c>
      <c r="FU16" s="57" t="str">
        <f aca="false">IF(AND(FU$7=$I16,ISNUMBER($I16)),"◆","")</f>
        <v/>
      </c>
      <c r="FV16" s="57" t="str">
        <f aca="false">IF(AND(FV$7=$I16,ISNUMBER($I16)),"◆","")</f>
        <v/>
      </c>
    </row>
    <row r="17" customFormat="false" ht="21.75" hidden="false" customHeight="true" outlineLevel="0" collapsed="false">
      <c r="A17" s="45" t="s">
        <v>77</v>
      </c>
      <c r="B17" s="45"/>
      <c r="C17" s="45"/>
      <c r="D17" s="45"/>
      <c r="E17" s="45"/>
      <c r="F17" s="46" t="s">
        <v>76</v>
      </c>
      <c r="G17" s="47" t="n">
        <f aca="false">MIN(制作工程表!G15:G17)</f>
        <v>46351</v>
      </c>
      <c r="H17" s="47" t="n">
        <f aca="false">MAX(制作工程表!H15:H17)</f>
        <v>46381</v>
      </c>
      <c r="I17" s="47" t="n">
        <f aca="false">IF(MAX(制作工程表!I15:I17)=0,"—",MAX(制作工程表!I15:I17))</f>
        <v>46381</v>
      </c>
      <c r="J17" s="48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</row>
    <row r="18" customFormat="false" ht="25.5" hidden="false" customHeight="true" outlineLevel="0" collapsed="false">
      <c r="A18" s="50" t="str">
        <f aca="false">制作工程表!A15</f>
        <v>T07</v>
      </c>
      <c r="B18" s="51" t="str">
        <f aca="false">制作工程表!B15</f>
        <v>取材準備</v>
      </c>
      <c r="C18" s="52" t="str">
        <f aca="false">制作工程表!C15</f>
        <v>撮影指示書・質問案の作成</v>
      </c>
      <c r="D18" s="53" t="str">
        <f aca="false">制作工程表!D15</f>
        <v>ライター・カメラマン</v>
      </c>
      <c r="E18" s="53" t="str">
        <f aca="false">制作工程表!E15</f>
        <v>—</v>
      </c>
      <c r="F18" s="54" t="str">
        <f aca="false">IF(制作工程表!B15="取材撮影","撮影",IF(OR(制作工程表!D15="広報窓口",制作工程表!D15="代表",制作工程表!D15="技術営業課",制作工程表!D15="品質管理課",制作工程表!D15="製造部"),"企業","制作"))</f>
        <v>制作</v>
      </c>
      <c r="G18" s="55" t="n">
        <f aca="false">制作工程表!G15</f>
        <v>46351</v>
      </c>
      <c r="H18" s="55" t="n">
        <f aca="false">制作工程表!H15</f>
        <v>46359</v>
      </c>
      <c r="I18" s="56" t="str">
        <f aca="false">制作工程表!I15</f>
        <v>—</v>
      </c>
      <c r="J18" s="51" t="str">
        <f aca="false">制作工程表!K15</f>
        <v>未着手</v>
      </c>
      <c r="K18" s="57" t="str">
        <f aca="false">IF(AND(K$7=$I18,ISNUMBER($I18)),"◆","")</f>
        <v/>
      </c>
      <c r="L18" s="57" t="str">
        <f aca="false">IF(AND(L$7=$I18,ISNUMBER($I18)),"◆","")</f>
        <v/>
      </c>
      <c r="M18" s="57" t="str">
        <f aca="false">IF(AND(M$7=$I18,ISNUMBER($I18)),"◆","")</f>
        <v/>
      </c>
      <c r="N18" s="57" t="str">
        <f aca="false">IF(AND(N$7=$I18,ISNUMBER($I18)),"◆","")</f>
        <v/>
      </c>
      <c r="O18" s="57" t="str">
        <f aca="false">IF(AND(O$7=$I18,ISNUMBER($I18)),"◆","")</f>
        <v/>
      </c>
      <c r="P18" s="57" t="str">
        <f aca="false">IF(AND(P$7=$I18,ISNUMBER($I18)),"◆","")</f>
        <v/>
      </c>
      <c r="Q18" s="57" t="str">
        <f aca="false">IF(AND(Q$7=$I18,ISNUMBER($I18)),"◆","")</f>
        <v/>
      </c>
      <c r="R18" s="57" t="str">
        <f aca="false">IF(AND(R$7=$I18,ISNUMBER($I18)),"◆","")</f>
        <v/>
      </c>
      <c r="S18" s="57" t="str">
        <f aca="false">IF(AND(S$7=$I18,ISNUMBER($I18)),"◆","")</f>
        <v/>
      </c>
      <c r="T18" s="57" t="str">
        <f aca="false">IF(AND(T$7=$I18,ISNUMBER($I18)),"◆","")</f>
        <v/>
      </c>
      <c r="U18" s="57" t="str">
        <f aca="false">IF(AND(U$7=$I18,ISNUMBER($I18)),"◆","")</f>
        <v/>
      </c>
      <c r="V18" s="57" t="str">
        <f aca="false">IF(AND(V$7=$I18,ISNUMBER($I18)),"◆","")</f>
        <v/>
      </c>
      <c r="W18" s="57" t="str">
        <f aca="false">IF(AND(W$7=$I18,ISNUMBER($I18)),"◆","")</f>
        <v/>
      </c>
      <c r="X18" s="57" t="str">
        <f aca="false">IF(AND(X$7=$I18,ISNUMBER($I18)),"◆","")</f>
        <v/>
      </c>
      <c r="Y18" s="57" t="str">
        <f aca="false">IF(AND(Y$7=$I18,ISNUMBER($I18)),"◆","")</f>
        <v/>
      </c>
      <c r="Z18" s="57" t="str">
        <f aca="false">IF(AND(Z$7=$I18,ISNUMBER($I18)),"◆","")</f>
        <v/>
      </c>
      <c r="AA18" s="57" t="str">
        <f aca="false">IF(AND(AA$7=$I18,ISNUMBER($I18)),"◆","")</f>
        <v/>
      </c>
      <c r="AB18" s="57" t="str">
        <f aca="false">IF(AND(AB$7=$I18,ISNUMBER($I18)),"◆","")</f>
        <v/>
      </c>
      <c r="AC18" s="57" t="str">
        <f aca="false">IF(AND(AC$7=$I18,ISNUMBER($I18)),"◆","")</f>
        <v/>
      </c>
      <c r="AD18" s="57" t="str">
        <f aca="false">IF(AND(AD$7=$I18,ISNUMBER($I18)),"◆","")</f>
        <v/>
      </c>
      <c r="AE18" s="57" t="str">
        <f aca="false">IF(AND(AE$7=$I18,ISNUMBER($I18)),"◆","")</f>
        <v/>
      </c>
      <c r="AF18" s="57" t="str">
        <f aca="false">IF(AND(AF$7=$I18,ISNUMBER($I18)),"◆","")</f>
        <v/>
      </c>
      <c r="AG18" s="57" t="str">
        <f aca="false">IF(AND(AG$7=$I18,ISNUMBER($I18)),"◆","")</f>
        <v/>
      </c>
      <c r="AH18" s="57" t="str">
        <f aca="false">IF(AND(AH$7=$I18,ISNUMBER($I18)),"◆","")</f>
        <v/>
      </c>
      <c r="AI18" s="57" t="str">
        <f aca="false">IF(AND(AI$7=$I18,ISNUMBER($I18)),"◆","")</f>
        <v/>
      </c>
      <c r="AJ18" s="57" t="str">
        <f aca="false">IF(AND(AJ$7=$I18,ISNUMBER($I18)),"◆","")</f>
        <v/>
      </c>
      <c r="AK18" s="57" t="str">
        <f aca="false">IF(AND(AK$7=$I18,ISNUMBER($I18)),"◆","")</f>
        <v/>
      </c>
      <c r="AL18" s="57" t="str">
        <f aca="false">IF(AND(AL$7=$I18,ISNUMBER($I18)),"◆","")</f>
        <v/>
      </c>
      <c r="AM18" s="57" t="str">
        <f aca="false">IF(AND(AM$7=$I18,ISNUMBER($I18)),"◆","")</f>
        <v/>
      </c>
      <c r="AN18" s="57" t="str">
        <f aca="false">IF(AND(AN$7=$I18,ISNUMBER($I18)),"◆","")</f>
        <v/>
      </c>
      <c r="AO18" s="57" t="str">
        <f aca="false">IF(AND(AO$7=$I18,ISNUMBER($I18)),"◆","")</f>
        <v/>
      </c>
      <c r="AP18" s="57" t="str">
        <f aca="false">IF(AND(AP$7=$I18,ISNUMBER($I18)),"◆","")</f>
        <v/>
      </c>
      <c r="AQ18" s="57" t="str">
        <f aca="false">IF(AND(AQ$7=$I18,ISNUMBER($I18)),"◆","")</f>
        <v/>
      </c>
      <c r="AR18" s="57" t="str">
        <f aca="false">IF(AND(AR$7=$I18,ISNUMBER($I18)),"◆","")</f>
        <v/>
      </c>
      <c r="AS18" s="57" t="str">
        <f aca="false">IF(AND(AS$7=$I18,ISNUMBER($I18)),"◆","")</f>
        <v/>
      </c>
      <c r="AT18" s="57" t="str">
        <f aca="false">IF(AND(AT$7=$I18,ISNUMBER($I18)),"◆","")</f>
        <v/>
      </c>
      <c r="AU18" s="57" t="str">
        <f aca="false">IF(AND(AU$7=$I18,ISNUMBER($I18)),"◆","")</f>
        <v/>
      </c>
      <c r="AV18" s="57" t="str">
        <f aca="false">IF(AND(AV$7=$I18,ISNUMBER($I18)),"◆","")</f>
        <v/>
      </c>
      <c r="AW18" s="57" t="str">
        <f aca="false">IF(AND(AW$7=$I18,ISNUMBER($I18)),"◆","")</f>
        <v/>
      </c>
      <c r="AX18" s="57" t="str">
        <f aca="false">IF(AND(AX$7=$I18,ISNUMBER($I18)),"◆","")</f>
        <v/>
      </c>
      <c r="AY18" s="57" t="str">
        <f aca="false">IF(AND(AY$7=$I18,ISNUMBER($I18)),"◆","")</f>
        <v/>
      </c>
      <c r="AZ18" s="57" t="str">
        <f aca="false">IF(AND(AZ$7=$I18,ISNUMBER($I18)),"◆","")</f>
        <v/>
      </c>
      <c r="BA18" s="57" t="str">
        <f aca="false">IF(AND(BA$7=$I18,ISNUMBER($I18)),"◆","")</f>
        <v/>
      </c>
      <c r="BB18" s="57" t="str">
        <f aca="false">IF(AND(BB$7=$I18,ISNUMBER($I18)),"◆","")</f>
        <v/>
      </c>
      <c r="BC18" s="57" t="str">
        <f aca="false">IF(AND(BC$7=$I18,ISNUMBER($I18)),"◆","")</f>
        <v/>
      </c>
      <c r="BD18" s="57" t="str">
        <f aca="false">IF(AND(BD$7=$I18,ISNUMBER($I18)),"◆","")</f>
        <v/>
      </c>
      <c r="BE18" s="57" t="str">
        <f aca="false">IF(AND(BE$7=$I18,ISNUMBER($I18)),"◆","")</f>
        <v/>
      </c>
      <c r="BF18" s="57" t="str">
        <f aca="false">IF(AND(BF$7=$I18,ISNUMBER($I18)),"◆","")</f>
        <v/>
      </c>
      <c r="BG18" s="57" t="str">
        <f aca="false">IF(AND(BG$7=$I18,ISNUMBER($I18)),"◆","")</f>
        <v/>
      </c>
      <c r="BH18" s="57" t="str">
        <f aca="false">IF(AND(BH$7=$I18,ISNUMBER($I18)),"◆","")</f>
        <v/>
      </c>
      <c r="BI18" s="57" t="str">
        <f aca="false">IF(AND(BI$7=$I18,ISNUMBER($I18)),"◆","")</f>
        <v/>
      </c>
      <c r="BJ18" s="57" t="str">
        <f aca="false">IF(AND(BJ$7=$I18,ISNUMBER($I18)),"◆","")</f>
        <v/>
      </c>
      <c r="BK18" s="57" t="str">
        <f aca="false">IF(AND(BK$7=$I18,ISNUMBER($I18)),"◆","")</f>
        <v/>
      </c>
      <c r="BL18" s="57" t="str">
        <f aca="false">IF(AND(BL$7=$I18,ISNUMBER($I18)),"◆","")</f>
        <v/>
      </c>
      <c r="BM18" s="57" t="str">
        <f aca="false">IF(AND(BM$7=$I18,ISNUMBER($I18)),"◆","")</f>
        <v/>
      </c>
      <c r="BN18" s="57" t="str">
        <f aca="false">IF(AND(BN$7=$I18,ISNUMBER($I18)),"◆","")</f>
        <v/>
      </c>
      <c r="BO18" s="57" t="str">
        <f aca="false">IF(AND(BO$7=$I18,ISNUMBER($I18)),"◆","")</f>
        <v/>
      </c>
      <c r="BP18" s="57" t="str">
        <f aca="false">IF(AND(BP$7=$I18,ISNUMBER($I18)),"◆","")</f>
        <v/>
      </c>
      <c r="BQ18" s="57" t="str">
        <f aca="false">IF(AND(BQ$7=$I18,ISNUMBER($I18)),"◆","")</f>
        <v/>
      </c>
      <c r="BR18" s="57" t="str">
        <f aca="false">IF(AND(BR$7=$I18,ISNUMBER($I18)),"◆","")</f>
        <v/>
      </c>
      <c r="BS18" s="57" t="str">
        <f aca="false">IF(AND(BS$7=$I18,ISNUMBER($I18)),"◆","")</f>
        <v/>
      </c>
      <c r="BT18" s="57" t="str">
        <f aca="false">IF(AND(BT$7=$I18,ISNUMBER($I18)),"◆","")</f>
        <v/>
      </c>
      <c r="BU18" s="57" t="str">
        <f aca="false">IF(AND(BU$7=$I18,ISNUMBER($I18)),"◆","")</f>
        <v/>
      </c>
      <c r="BV18" s="57" t="str">
        <f aca="false">IF(AND(BV$7=$I18,ISNUMBER($I18)),"◆","")</f>
        <v/>
      </c>
      <c r="BW18" s="57" t="str">
        <f aca="false">IF(AND(BW$7=$I18,ISNUMBER($I18)),"◆","")</f>
        <v/>
      </c>
      <c r="BX18" s="57" t="str">
        <f aca="false">IF(AND(BX$7=$I18,ISNUMBER($I18)),"◆","")</f>
        <v/>
      </c>
      <c r="BY18" s="57" t="str">
        <f aca="false">IF(AND(BY$7=$I18,ISNUMBER($I18)),"◆","")</f>
        <v/>
      </c>
      <c r="BZ18" s="57" t="str">
        <f aca="false">IF(AND(BZ$7=$I18,ISNUMBER($I18)),"◆","")</f>
        <v/>
      </c>
      <c r="CA18" s="57" t="str">
        <f aca="false">IF(AND(CA$7=$I18,ISNUMBER($I18)),"◆","")</f>
        <v/>
      </c>
      <c r="CB18" s="57" t="str">
        <f aca="false">IF(AND(CB$7=$I18,ISNUMBER($I18)),"◆","")</f>
        <v/>
      </c>
      <c r="CC18" s="57" t="str">
        <f aca="false">IF(AND(CC$7=$I18,ISNUMBER($I18)),"◆","")</f>
        <v/>
      </c>
      <c r="CD18" s="57" t="str">
        <f aca="false">IF(AND(CD$7=$I18,ISNUMBER($I18)),"◆","")</f>
        <v/>
      </c>
      <c r="CE18" s="57" t="str">
        <f aca="false">IF(AND(CE$7=$I18,ISNUMBER($I18)),"◆","")</f>
        <v/>
      </c>
      <c r="CF18" s="57" t="str">
        <f aca="false">IF(AND(CF$7=$I18,ISNUMBER($I18)),"◆","")</f>
        <v/>
      </c>
      <c r="CG18" s="57" t="str">
        <f aca="false">IF(AND(CG$7=$I18,ISNUMBER($I18)),"◆","")</f>
        <v/>
      </c>
      <c r="CH18" s="57" t="str">
        <f aca="false">IF(AND(CH$7=$I18,ISNUMBER($I18)),"◆","")</f>
        <v/>
      </c>
      <c r="CI18" s="57" t="str">
        <f aca="false">IF(AND(CI$7=$I18,ISNUMBER($I18)),"◆","")</f>
        <v/>
      </c>
      <c r="CJ18" s="57" t="str">
        <f aca="false">IF(AND(CJ$7=$I18,ISNUMBER($I18)),"◆","")</f>
        <v/>
      </c>
      <c r="CK18" s="57" t="str">
        <f aca="false">IF(AND(CK$7=$I18,ISNUMBER($I18)),"◆","")</f>
        <v/>
      </c>
      <c r="CL18" s="57" t="str">
        <f aca="false">IF(AND(CL$7=$I18,ISNUMBER($I18)),"◆","")</f>
        <v/>
      </c>
      <c r="CM18" s="57" t="str">
        <f aca="false">IF(AND(CM$7=$I18,ISNUMBER($I18)),"◆","")</f>
        <v/>
      </c>
      <c r="CN18" s="57" t="str">
        <f aca="false">IF(AND(CN$7=$I18,ISNUMBER($I18)),"◆","")</f>
        <v/>
      </c>
      <c r="CO18" s="57" t="str">
        <f aca="false">IF(AND(CO$7=$I18,ISNUMBER($I18)),"◆","")</f>
        <v/>
      </c>
      <c r="CP18" s="57" t="str">
        <f aca="false">IF(AND(CP$7=$I18,ISNUMBER($I18)),"◆","")</f>
        <v/>
      </c>
      <c r="CQ18" s="57" t="str">
        <f aca="false">IF(AND(CQ$7=$I18,ISNUMBER($I18)),"◆","")</f>
        <v/>
      </c>
      <c r="CR18" s="57" t="str">
        <f aca="false">IF(AND(CR$7=$I18,ISNUMBER($I18)),"◆","")</f>
        <v/>
      </c>
      <c r="CS18" s="57" t="str">
        <f aca="false">IF(AND(CS$7=$I18,ISNUMBER($I18)),"◆","")</f>
        <v/>
      </c>
      <c r="CT18" s="57" t="str">
        <f aca="false">IF(AND(CT$7=$I18,ISNUMBER($I18)),"◆","")</f>
        <v/>
      </c>
      <c r="CU18" s="57" t="str">
        <f aca="false">IF(AND(CU$7=$I18,ISNUMBER($I18)),"◆","")</f>
        <v/>
      </c>
      <c r="CV18" s="57" t="str">
        <f aca="false">IF(AND(CV$7=$I18,ISNUMBER($I18)),"◆","")</f>
        <v/>
      </c>
      <c r="CW18" s="57" t="str">
        <f aca="false">IF(AND(CW$7=$I18,ISNUMBER($I18)),"◆","")</f>
        <v/>
      </c>
      <c r="CX18" s="57" t="str">
        <f aca="false">IF(AND(CX$7=$I18,ISNUMBER($I18)),"◆","")</f>
        <v/>
      </c>
      <c r="CY18" s="57" t="str">
        <f aca="false">IF(AND(CY$7=$I18,ISNUMBER($I18)),"◆","")</f>
        <v/>
      </c>
      <c r="CZ18" s="57" t="str">
        <f aca="false">IF(AND(CZ$7=$I18,ISNUMBER($I18)),"◆","")</f>
        <v/>
      </c>
      <c r="DA18" s="57" t="str">
        <f aca="false">IF(AND(DA$7=$I18,ISNUMBER($I18)),"◆","")</f>
        <v/>
      </c>
      <c r="DB18" s="57" t="str">
        <f aca="false">IF(AND(DB$7=$I18,ISNUMBER($I18)),"◆","")</f>
        <v/>
      </c>
      <c r="DC18" s="57" t="str">
        <f aca="false">IF(AND(DC$7=$I18,ISNUMBER($I18)),"◆","")</f>
        <v/>
      </c>
      <c r="DD18" s="57" t="str">
        <f aca="false">IF(AND(DD$7=$I18,ISNUMBER($I18)),"◆","")</f>
        <v/>
      </c>
      <c r="DE18" s="57" t="str">
        <f aca="false">IF(AND(DE$7=$I18,ISNUMBER($I18)),"◆","")</f>
        <v/>
      </c>
      <c r="DF18" s="57" t="str">
        <f aca="false">IF(AND(DF$7=$I18,ISNUMBER($I18)),"◆","")</f>
        <v/>
      </c>
      <c r="DG18" s="57" t="str">
        <f aca="false">IF(AND(DG$7=$I18,ISNUMBER($I18)),"◆","")</f>
        <v/>
      </c>
      <c r="DH18" s="57" t="str">
        <f aca="false">IF(AND(DH$7=$I18,ISNUMBER($I18)),"◆","")</f>
        <v/>
      </c>
      <c r="DI18" s="57" t="str">
        <f aca="false">IF(AND(DI$7=$I18,ISNUMBER($I18)),"◆","")</f>
        <v/>
      </c>
      <c r="DJ18" s="57" t="str">
        <f aca="false">IF(AND(DJ$7=$I18,ISNUMBER($I18)),"◆","")</f>
        <v/>
      </c>
      <c r="DK18" s="57" t="str">
        <f aca="false">IF(AND(DK$7=$I18,ISNUMBER($I18)),"◆","")</f>
        <v/>
      </c>
      <c r="DL18" s="57" t="str">
        <f aca="false">IF(AND(DL$7=$I18,ISNUMBER($I18)),"◆","")</f>
        <v/>
      </c>
      <c r="DM18" s="57" t="str">
        <f aca="false">IF(AND(DM$7=$I18,ISNUMBER($I18)),"◆","")</f>
        <v/>
      </c>
      <c r="DN18" s="57" t="str">
        <f aca="false">IF(AND(DN$7=$I18,ISNUMBER($I18)),"◆","")</f>
        <v/>
      </c>
      <c r="DO18" s="57" t="str">
        <f aca="false">IF(AND(DO$7=$I18,ISNUMBER($I18)),"◆","")</f>
        <v/>
      </c>
      <c r="DP18" s="57" t="str">
        <f aca="false">IF(AND(DP$7=$I18,ISNUMBER($I18)),"◆","")</f>
        <v/>
      </c>
      <c r="DQ18" s="57" t="str">
        <f aca="false">IF(AND(DQ$7=$I18,ISNUMBER($I18)),"◆","")</f>
        <v/>
      </c>
      <c r="DR18" s="57" t="str">
        <f aca="false">IF(AND(DR$7=$I18,ISNUMBER($I18)),"◆","")</f>
        <v/>
      </c>
      <c r="DS18" s="57" t="str">
        <f aca="false">IF(AND(DS$7=$I18,ISNUMBER($I18)),"◆","")</f>
        <v/>
      </c>
      <c r="DT18" s="57" t="str">
        <f aca="false">IF(AND(DT$7=$I18,ISNUMBER($I18)),"◆","")</f>
        <v/>
      </c>
      <c r="DU18" s="57" t="str">
        <f aca="false">IF(AND(DU$7=$I18,ISNUMBER($I18)),"◆","")</f>
        <v/>
      </c>
      <c r="DV18" s="57" t="str">
        <f aca="false">IF(AND(DV$7=$I18,ISNUMBER($I18)),"◆","")</f>
        <v/>
      </c>
      <c r="DW18" s="57" t="str">
        <f aca="false">IF(AND(DW$7=$I18,ISNUMBER($I18)),"◆","")</f>
        <v/>
      </c>
      <c r="DX18" s="57" t="str">
        <f aca="false">IF(AND(DX$7=$I18,ISNUMBER($I18)),"◆","")</f>
        <v/>
      </c>
      <c r="DY18" s="57" t="str">
        <f aca="false">IF(AND(DY$7=$I18,ISNUMBER($I18)),"◆","")</f>
        <v/>
      </c>
      <c r="DZ18" s="57" t="str">
        <f aca="false">IF(AND(DZ$7=$I18,ISNUMBER($I18)),"◆","")</f>
        <v/>
      </c>
      <c r="EA18" s="57" t="str">
        <f aca="false">IF(AND(EA$7=$I18,ISNUMBER($I18)),"◆","")</f>
        <v/>
      </c>
      <c r="EB18" s="57" t="str">
        <f aca="false">IF(AND(EB$7=$I18,ISNUMBER($I18)),"◆","")</f>
        <v/>
      </c>
      <c r="EC18" s="57" t="str">
        <f aca="false">IF(AND(EC$7=$I18,ISNUMBER($I18)),"◆","")</f>
        <v/>
      </c>
      <c r="ED18" s="57" t="str">
        <f aca="false">IF(AND(ED$7=$I18,ISNUMBER($I18)),"◆","")</f>
        <v/>
      </c>
      <c r="EE18" s="57" t="str">
        <f aca="false">IF(AND(EE$7=$I18,ISNUMBER($I18)),"◆","")</f>
        <v/>
      </c>
      <c r="EF18" s="57" t="str">
        <f aca="false">IF(AND(EF$7=$I18,ISNUMBER($I18)),"◆","")</f>
        <v/>
      </c>
      <c r="EG18" s="57" t="str">
        <f aca="false">IF(AND(EG$7=$I18,ISNUMBER($I18)),"◆","")</f>
        <v/>
      </c>
      <c r="EH18" s="57" t="str">
        <f aca="false">IF(AND(EH$7=$I18,ISNUMBER($I18)),"◆","")</f>
        <v/>
      </c>
      <c r="EI18" s="57" t="str">
        <f aca="false">IF(AND(EI$7=$I18,ISNUMBER($I18)),"◆","")</f>
        <v/>
      </c>
      <c r="EJ18" s="57" t="str">
        <f aca="false">IF(AND(EJ$7=$I18,ISNUMBER($I18)),"◆","")</f>
        <v/>
      </c>
      <c r="EK18" s="57" t="str">
        <f aca="false">IF(AND(EK$7=$I18,ISNUMBER($I18)),"◆","")</f>
        <v/>
      </c>
      <c r="EL18" s="57" t="str">
        <f aca="false">IF(AND(EL$7=$I18,ISNUMBER($I18)),"◆","")</f>
        <v/>
      </c>
      <c r="EM18" s="57" t="str">
        <f aca="false">IF(AND(EM$7=$I18,ISNUMBER($I18)),"◆","")</f>
        <v/>
      </c>
      <c r="EN18" s="57" t="str">
        <f aca="false">IF(AND(EN$7=$I18,ISNUMBER($I18)),"◆","")</f>
        <v/>
      </c>
      <c r="EO18" s="57" t="str">
        <f aca="false">IF(AND(EO$7=$I18,ISNUMBER($I18)),"◆","")</f>
        <v/>
      </c>
      <c r="EP18" s="57" t="str">
        <f aca="false">IF(AND(EP$7=$I18,ISNUMBER($I18)),"◆","")</f>
        <v/>
      </c>
      <c r="EQ18" s="57" t="str">
        <f aca="false">IF(AND(EQ$7=$I18,ISNUMBER($I18)),"◆","")</f>
        <v/>
      </c>
      <c r="ER18" s="57" t="str">
        <f aca="false">IF(AND(ER$7=$I18,ISNUMBER($I18)),"◆","")</f>
        <v/>
      </c>
      <c r="ES18" s="57" t="str">
        <f aca="false">IF(AND(ES$7=$I18,ISNUMBER($I18)),"◆","")</f>
        <v/>
      </c>
      <c r="ET18" s="57" t="str">
        <f aca="false">IF(AND(ET$7=$I18,ISNUMBER($I18)),"◆","")</f>
        <v/>
      </c>
      <c r="EU18" s="57" t="str">
        <f aca="false">IF(AND(EU$7=$I18,ISNUMBER($I18)),"◆","")</f>
        <v/>
      </c>
      <c r="EV18" s="57" t="str">
        <f aca="false">IF(AND(EV$7=$I18,ISNUMBER($I18)),"◆","")</f>
        <v/>
      </c>
      <c r="EW18" s="57" t="str">
        <f aca="false">IF(AND(EW$7=$I18,ISNUMBER($I18)),"◆","")</f>
        <v/>
      </c>
      <c r="EX18" s="57" t="str">
        <f aca="false">IF(AND(EX$7=$I18,ISNUMBER($I18)),"◆","")</f>
        <v/>
      </c>
      <c r="EY18" s="57" t="str">
        <f aca="false">IF(AND(EY$7=$I18,ISNUMBER($I18)),"◆","")</f>
        <v/>
      </c>
      <c r="EZ18" s="57" t="str">
        <f aca="false">IF(AND(EZ$7=$I18,ISNUMBER($I18)),"◆","")</f>
        <v/>
      </c>
      <c r="FA18" s="57" t="str">
        <f aca="false">IF(AND(FA$7=$I18,ISNUMBER($I18)),"◆","")</f>
        <v/>
      </c>
      <c r="FB18" s="57" t="str">
        <f aca="false">IF(AND(FB$7=$I18,ISNUMBER($I18)),"◆","")</f>
        <v/>
      </c>
      <c r="FC18" s="57" t="str">
        <f aca="false">IF(AND(FC$7=$I18,ISNUMBER($I18)),"◆","")</f>
        <v/>
      </c>
      <c r="FD18" s="57" t="str">
        <f aca="false">IF(AND(FD$7=$I18,ISNUMBER($I18)),"◆","")</f>
        <v/>
      </c>
      <c r="FE18" s="57" t="str">
        <f aca="false">IF(AND(FE$7=$I18,ISNUMBER($I18)),"◆","")</f>
        <v/>
      </c>
      <c r="FF18" s="57" t="str">
        <f aca="false">IF(AND(FF$7=$I18,ISNUMBER($I18)),"◆","")</f>
        <v/>
      </c>
      <c r="FG18" s="57" t="str">
        <f aca="false">IF(AND(FG$7=$I18,ISNUMBER($I18)),"◆","")</f>
        <v/>
      </c>
      <c r="FH18" s="57" t="str">
        <f aca="false">IF(AND(FH$7=$I18,ISNUMBER($I18)),"◆","")</f>
        <v/>
      </c>
      <c r="FI18" s="57" t="str">
        <f aca="false">IF(AND(FI$7=$I18,ISNUMBER($I18)),"◆","")</f>
        <v/>
      </c>
      <c r="FJ18" s="57" t="str">
        <f aca="false">IF(AND(FJ$7=$I18,ISNUMBER($I18)),"◆","")</f>
        <v/>
      </c>
      <c r="FK18" s="57" t="str">
        <f aca="false">IF(AND(FK$7=$I18,ISNUMBER($I18)),"◆","")</f>
        <v/>
      </c>
      <c r="FL18" s="57" t="str">
        <f aca="false">IF(AND(FL$7=$I18,ISNUMBER($I18)),"◆","")</f>
        <v/>
      </c>
      <c r="FM18" s="57" t="str">
        <f aca="false">IF(AND(FM$7=$I18,ISNUMBER($I18)),"◆","")</f>
        <v/>
      </c>
      <c r="FN18" s="57" t="str">
        <f aca="false">IF(AND(FN$7=$I18,ISNUMBER($I18)),"◆","")</f>
        <v/>
      </c>
      <c r="FO18" s="57" t="str">
        <f aca="false">IF(AND(FO$7=$I18,ISNUMBER($I18)),"◆","")</f>
        <v/>
      </c>
      <c r="FP18" s="57" t="str">
        <f aca="false">IF(AND(FP$7=$I18,ISNUMBER($I18)),"◆","")</f>
        <v/>
      </c>
      <c r="FQ18" s="57" t="str">
        <f aca="false">IF(AND(FQ$7=$I18,ISNUMBER($I18)),"◆","")</f>
        <v/>
      </c>
      <c r="FR18" s="57" t="str">
        <f aca="false">IF(AND(FR$7=$I18,ISNUMBER($I18)),"◆","")</f>
        <v/>
      </c>
      <c r="FS18" s="57" t="str">
        <f aca="false">IF(AND(FS$7=$I18,ISNUMBER($I18)),"◆","")</f>
        <v/>
      </c>
      <c r="FT18" s="57" t="str">
        <f aca="false">IF(AND(FT$7=$I18,ISNUMBER($I18)),"◆","")</f>
        <v/>
      </c>
      <c r="FU18" s="57" t="str">
        <f aca="false">IF(AND(FU$7=$I18,ISNUMBER($I18)),"◆","")</f>
        <v/>
      </c>
      <c r="FV18" s="57" t="str">
        <f aca="false">IF(AND(FV$7=$I18,ISNUMBER($I18)),"◆","")</f>
        <v/>
      </c>
    </row>
    <row r="19" customFormat="false" ht="25.5" hidden="false" customHeight="true" outlineLevel="0" collapsed="false">
      <c r="A19" s="50" t="str">
        <f aca="false">制作工程表!A16</f>
        <v>T08</v>
      </c>
      <c r="B19" s="51" t="str">
        <f aca="false">制作工程表!B16</f>
        <v>取材準備</v>
      </c>
      <c r="C19" s="52" t="str">
        <f aca="false">制作工程表!C16</f>
        <v>撮影場所・出演者・施工先許諾の調整</v>
      </c>
      <c r="D19" s="53" t="str">
        <f aca="false">制作工程表!D16</f>
        <v>広報窓口</v>
      </c>
      <c r="E19" s="53" t="str">
        <f aca="false">制作工程表!E16</f>
        <v>施工先・設計者</v>
      </c>
      <c r="F19" s="54" t="str">
        <f aca="false">IF(制作工程表!B16="取材撮影","撮影",IF(OR(制作工程表!D16="広報窓口",制作工程表!D16="代表",制作工程表!D16="技術営業課",制作工程表!D16="品質管理課",制作工程表!D16="製造部"),"企業","制作"))</f>
        <v>企業</v>
      </c>
      <c r="G19" s="55" t="n">
        <f aca="false">制作工程表!G16</f>
        <v>46351</v>
      </c>
      <c r="H19" s="55" t="n">
        <f aca="false">制作工程表!H16</f>
        <v>46372</v>
      </c>
      <c r="I19" s="56" t="n">
        <f aca="false">制作工程表!I16</f>
        <v>46372</v>
      </c>
      <c r="J19" s="51" t="str">
        <f aca="false">制作工程表!K16</f>
        <v>未着手</v>
      </c>
      <c r="K19" s="57" t="str">
        <f aca="false">IF(AND(K$7=$I19,ISNUMBER($I19)),"◆","")</f>
        <v/>
      </c>
      <c r="L19" s="57" t="str">
        <f aca="false">IF(AND(L$7=$I19,ISNUMBER($I19)),"◆","")</f>
        <v/>
      </c>
      <c r="M19" s="57" t="str">
        <f aca="false">IF(AND(M$7=$I19,ISNUMBER($I19)),"◆","")</f>
        <v/>
      </c>
      <c r="N19" s="57" t="str">
        <f aca="false">IF(AND(N$7=$I19,ISNUMBER($I19)),"◆","")</f>
        <v/>
      </c>
      <c r="O19" s="57" t="str">
        <f aca="false">IF(AND(O$7=$I19,ISNUMBER($I19)),"◆","")</f>
        <v/>
      </c>
      <c r="P19" s="57" t="str">
        <f aca="false">IF(AND(P$7=$I19,ISNUMBER($I19)),"◆","")</f>
        <v/>
      </c>
      <c r="Q19" s="57" t="str">
        <f aca="false">IF(AND(Q$7=$I19,ISNUMBER($I19)),"◆","")</f>
        <v/>
      </c>
      <c r="R19" s="57" t="str">
        <f aca="false">IF(AND(R$7=$I19,ISNUMBER($I19)),"◆","")</f>
        <v/>
      </c>
      <c r="S19" s="57" t="str">
        <f aca="false">IF(AND(S$7=$I19,ISNUMBER($I19)),"◆","")</f>
        <v/>
      </c>
      <c r="T19" s="57" t="str">
        <f aca="false">IF(AND(T$7=$I19,ISNUMBER($I19)),"◆","")</f>
        <v/>
      </c>
      <c r="U19" s="57" t="str">
        <f aca="false">IF(AND(U$7=$I19,ISNUMBER($I19)),"◆","")</f>
        <v/>
      </c>
      <c r="V19" s="57" t="str">
        <f aca="false">IF(AND(V$7=$I19,ISNUMBER($I19)),"◆","")</f>
        <v/>
      </c>
      <c r="W19" s="57" t="str">
        <f aca="false">IF(AND(W$7=$I19,ISNUMBER($I19)),"◆","")</f>
        <v/>
      </c>
      <c r="X19" s="57" t="str">
        <f aca="false">IF(AND(X$7=$I19,ISNUMBER($I19)),"◆","")</f>
        <v/>
      </c>
      <c r="Y19" s="57" t="str">
        <f aca="false">IF(AND(Y$7=$I19,ISNUMBER($I19)),"◆","")</f>
        <v/>
      </c>
      <c r="Z19" s="57" t="str">
        <f aca="false">IF(AND(Z$7=$I19,ISNUMBER($I19)),"◆","")</f>
        <v/>
      </c>
      <c r="AA19" s="57" t="str">
        <f aca="false">IF(AND(AA$7=$I19,ISNUMBER($I19)),"◆","")</f>
        <v/>
      </c>
      <c r="AB19" s="57" t="str">
        <f aca="false">IF(AND(AB$7=$I19,ISNUMBER($I19)),"◆","")</f>
        <v/>
      </c>
      <c r="AC19" s="57" t="str">
        <f aca="false">IF(AND(AC$7=$I19,ISNUMBER($I19)),"◆","")</f>
        <v/>
      </c>
      <c r="AD19" s="57" t="str">
        <f aca="false">IF(AND(AD$7=$I19,ISNUMBER($I19)),"◆","")</f>
        <v/>
      </c>
      <c r="AE19" s="57" t="str">
        <f aca="false">IF(AND(AE$7=$I19,ISNUMBER($I19)),"◆","")</f>
        <v/>
      </c>
      <c r="AF19" s="57" t="str">
        <f aca="false">IF(AND(AF$7=$I19,ISNUMBER($I19)),"◆","")</f>
        <v/>
      </c>
      <c r="AG19" s="57" t="str">
        <f aca="false">IF(AND(AG$7=$I19,ISNUMBER($I19)),"◆","")</f>
        <v/>
      </c>
      <c r="AH19" s="57" t="str">
        <f aca="false">IF(AND(AH$7=$I19,ISNUMBER($I19)),"◆","")</f>
        <v/>
      </c>
      <c r="AI19" s="57" t="str">
        <f aca="false">IF(AND(AI$7=$I19,ISNUMBER($I19)),"◆","")</f>
        <v/>
      </c>
      <c r="AJ19" s="57" t="str">
        <f aca="false">IF(AND(AJ$7=$I19,ISNUMBER($I19)),"◆","")</f>
        <v/>
      </c>
      <c r="AK19" s="57" t="str">
        <f aca="false">IF(AND(AK$7=$I19,ISNUMBER($I19)),"◆","")</f>
        <v/>
      </c>
      <c r="AL19" s="57" t="str">
        <f aca="false">IF(AND(AL$7=$I19,ISNUMBER($I19)),"◆","")</f>
        <v/>
      </c>
      <c r="AM19" s="57" t="str">
        <f aca="false">IF(AND(AM$7=$I19,ISNUMBER($I19)),"◆","")</f>
        <v/>
      </c>
      <c r="AN19" s="57" t="str">
        <f aca="false">IF(AND(AN$7=$I19,ISNUMBER($I19)),"◆","")</f>
        <v/>
      </c>
      <c r="AO19" s="57" t="str">
        <f aca="false">IF(AND(AO$7=$I19,ISNUMBER($I19)),"◆","")</f>
        <v/>
      </c>
      <c r="AP19" s="57" t="str">
        <f aca="false">IF(AND(AP$7=$I19,ISNUMBER($I19)),"◆","")</f>
        <v/>
      </c>
      <c r="AQ19" s="57" t="str">
        <f aca="false">IF(AND(AQ$7=$I19,ISNUMBER($I19)),"◆","")</f>
        <v/>
      </c>
      <c r="AR19" s="57" t="str">
        <f aca="false">IF(AND(AR$7=$I19,ISNUMBER($I19)),"◆","")</f>
        <v/>
      </c>
      <c r="AS19" s="57" t="str">
        <f aca="false">IF(AND(AS$7=$I19,ISNUMBER($I19)),"◆","")</f>
        <v/>
      </c>
      <c r="AT19" s="57" t="str">
        <f aca="false">IF(AND(AT$7=$I19,ISNUMBER($I19)),"◆","")</f>
        <v/>
      </c>
      <c r="AU19" s="57" t="str">
        <f aca="false">IF(AND(AU$7=$I19,ISNUMBER($I19)),"◆","")</f>
        <v/>
      </c>
      <c r="AV19" s="57" t="str">
        <f aca="false">IF(AND(AV$7=$I19,ISNUMBER($I19)),"◆","")</f>
        <v/>
      </c>
      <c r="AW19" s="57" t="str">
        <f aca="false">IF(AND(AW$7=$I19,ISNUMBER($I19)),"◆","")</f>
        <v/>
      </c>
      <c r="AX19" s="57" t="str">
        <f aca="false">IF(AND(AX$7=$I19,ISNUMBER($I19)),"◆","")</f>
        <v/>
      </c>
      <c r="AY19" s="57" t="str">
        <f aca="false">IF(AND(AY$7=$I19,ISNUMBER($I19)),"◆","")</f>
        <v/>
      </c>
      <c r="AZ19" s="57" t="str">
        <f aca="false">IF(AND(AZ$7=$I19,ISNUMBER($I19)),"◆","")</f>
        <v/>
      </c>
      <c r="BA19" s="57" t="str">
        <f aca="false">IF(AND(BA$7=$I19,ISNUMBER($I19)),"◆","")</f>
        <v/>
      </c>
      <c r="BB19" s="57" t="str">
        <f aca="false">IF(AND(BB$7=$I19,ISNUMBER($I19)),"◆","")</f>
        <v/>
      </c>
      <c r="BC19" s="57" t="str">
        <f aca="false">IF(AND(BC$7=$I19,ISNUMBER($I19)),"◆","")</f>
        <v>◆</v>
      </c>
      <c r="BD19" s="57" t="str">
        <f aca="false">IF(AND(BD$7=$I19,ISNUMBER($I19)),"◆","")</f>
        <v/>
      </c>
      <c r="BE19" s="57" t="str">
        <f aca="false">IF(AND(BE$7=$I19,ISNUMBER($I19)),"◆","")</f>
        <v/>
      </c>
      <c r="BF19" s="57" t="str">
        <f aca="false">IF(AND(BF$7=$I19,ISNUMBER($I19)),"◆","")</f>
        <v/>
      </c>
      <c r="BG19" s="57" t="str">
        <f aca="false">IF(AND(BG$7=$I19,ISNUMBER($I19)),"◆","")</f>
        <v/>
      </c>
      <c r="BH19" s="57" t="str">
        <f aca="false">IF(AND(BH$7=$I19,ISNUMBER($I19)),"◆","")</f>
        <v/>
      </c>
      <c r="BI19" s="57" t="str">
        <f aca="false">IF(AND(BI$7=$I19,ISNUMBER($I19)),"◆","")</f>
        <v/>
      </c>
      <c r="BJ19" s="57" t="str">
        <f aca="false">IF(AND(BJ$7=$I19,ISNUMBER($I19)),"◆","")</f>
        <v/>
      </c>
      <c r="BK19" s="57" t="str">
        <f aca="false">IF(AND(BK$7=$I19,ISNUMBER($I19)),"◆","")</f>
        <v/>
      </c>
      <c r="BL19" s="57" t="str">
        <f aca="false">IF(AND(BL$7=$I19,ISNUMBER($I19)),"◆","")</f>
        <v/>
      </c>
      <c r="BM19" s="57" t="str">
        <f aca="false">IF(AND(BM$7=$I19,ISNUMBER($I19)),"◆","")</f>
        <v/>
      </c>
      <c r="BN19" s="57" t="str">
        <f aca="false">IF(AND(BN$7=$I19,ISNUMBER($I19)),"◆","")</f>
        <v/>
      </c>
      <c r="BO19" s="57" t="str">
        <f aca="false">IF(AND(BO$7=$I19,ISNUMBER($I19)),"◆","")</f>
        <v/>
      </c>
      <c r="BP19" s="57" t="str">
        <f aca="false">IF(AND(BP$7=$I19,ISNUMBER($I19)),"◆","")</f>
        <v/>
      </c>
      <c r="BQ19" s="57" t="str">
        <f aca="false">IF(AND(BQ$7=$I19,ISNUMBER($I19)),"◆","")</f>
        <v/>
      </c>
      <c r="BR19" s="57" t="str">
        <f aca="false">IF(AND(BR$7=$I19,ISNUMBER($I19)),"◆","")</f>
        <v/>
      </c>
      <c r="BS19" s="57" t="str">
        <f aca="false">IF(AND(BS$7=$I19,ISNUMBER($I19)),"◆","")</f>
        <v/>
      </c>
      <c r="BT19" s="57" t="str">
        <f aca="false">IF(AND(BT$7=$I19,ISNUMBER($I19)),"◆","")</f>
        <v/>
      </c>
      <c r="BU19" s="57" t="str">
        <f aca="false">IF(AND(BU$7=$I19,ISNUMBER($I19)),"◆","")</f>
        <v/>
      </c>
      <c r="BV19" s="57" t="str">
        <f aca="false">IF(AND(BV$7=$I19,ISNUMBER($I19)),"◆","")</f>
        <v/>
      </c>
      <c r="BW19" s="57" t="str">
        <f aca="false">IF(AND(BW$7=$I19,ISNUMBER($I19)),"◆","")</f>
        <v/>
      </c>
      <c r="BX19" s="57" t="str">
        <f aca="false">IF(AND(BX$7=$I19,ISNUMBER($I19)),"◆","")</f>
        <v/>
      </c>
      <c r="BY19" s="57" t="str">
        <f aca="false">IF(AND(BY$7=$I19,ISNUMBER($I19)),"◆","")</f>
        <v/>
      </c>
      <c r="BZ19" s="57" t="str">
        <f aca="false">IF(AND(BZ$7=$I19,ISNUMBER($I19)),"◆","")</f>
        <v/>
      </c>
      <c r="CA19" s="57" t="str">
        <f aca="false">IF(AND(CA$7=$I19,ISNUMBER($I19)),"◆","")</f>
        <v/>
      </c>
      <c r="CB19" s="57" t="str">
        <f aca="false">IF(AND(CB$7=$I19,ISNUMBER($I19)),"◆","")</f>
        <v/>
      </c>
      <c r="CC19" s="57" t="str">
        <f aca="false">IF(AND(CC$7=$I19,ISNUMBER($I19)),"◆","")</f>
        <v/>
      </c>
      <c r="CD19" s="57" t="str">
        <f aca="false">IF(AND(CD$7=$I19,ISNUMBER($I19)),"◆","")</f>
        <v/>
      </c>
      <c r="CE19" s="57" t="str">
        <f aca="false">IF(AND(CE$7=$I19,ISNUMBER($I19)),"◆","")</f>
        <v/>
      </c>
      <c r="CF19" s="57" t="str">
        <f aca="false">IF(AND(CF$7=$I19,ISNUMBER($I19)),"◆","")</f>
        <v/>
      </c>
      <c r="CG19" s="57" t="str">
        <f aca="false">IF(AND(CG$7=$I19,ISNUMBER($I19)),"◆","")</f>
        <v/>
      </c>
      <c r="CH19" s="57" t="str">
        <f aca="false">IF(AND(CH$7=$I19,ISNUMBER($I19)),"◆","")</f>
        <v/>
      </c>
      <c r="CI19" s="57" t="str">
        <f aca="false">IF(AND(CI$7=$I19,ISNUMBER($I19)),"◆","")</f>
        <v/>
      </c>
      <c r="CJ19" s="57" t="str">
        <f aca="false">IF(AND(CJ$7=$I19,ISNUMBER($I19)),"◆","")</f>
        <v/>
      </c>
      <c r="CK19" s="57" t="str">
        <f aca="false">IF(AND(CK$7=$I19,ISNUMBER($I19)),"◆","")</f>
        <v/>
      </c>
      <c r="CL19" s="57" t="str">
        <f aca="false">IF(AND(CL$7=$I19,ISNUMBER($I19)),"◆","")</f>
        <v/>
      </c>
      <c r="CM19" s="57" t="str">
        <f aca="false">IF(AND(CM$7=$I19,ISNUMBER($I19)),"◆","")</f>
        <v/>
      </c>
      <c r="CN19" s="57" t="str">
        <f aca="false">IF(AND(CN$7=$I19,ISNUMBER($I19)),"◆","")</f>
        <v/>
      </c>
      <c r="CO19" s="57" t="str">
        <f aca="false">IF(AND(CO$7=$I19,ISNUMBER($I19)),"◆","")</f>
        <v/>
      </c>
      <c r="CP19" s="57" t="str">
        <f aca="false">IF(AND(CP$7=$I19,ISNUMBER($I19)),"◆","")</f>
        <v/>
      </c>
      <c r="CQ19" s="57" t="str">
        <f aca="false">IF(AND(CQ$7=$I19,ISNUMBER($I19)),"◆","")</f>
        <v/>
      </c>
      <c r="CR19" s="57" t="str">
        <f aca="false">IF(AND(CR$7=$I19,ISNUMBER($I19)),"◆","")</f>
        <v/>
      </c>
      <c r="CS19" s="57" t="str">
        <f aca="false">IF(AND(CS$7=$I19,ISNUMBER($I19)),"◆","")</f>
        <v/>
      </c>
      <c r="CT19" s="57" t="str">
        <f aca="false">IF(AND(CT$7=$I19,ISNUMBER($I19)),"◆","")</f>
        <v/>
      </c>
      <c r="CU19" s="57" t="str">
        <f aca="false">IF(AND(CU$7=$I19,ISNUMBER($I19)),"◆","")</f>
        <v/>
      </c>
      <c r="CV19" s="57" t="str">
        <f aca="false">IF(AND(CV$7=$I19,ISNUMBER($I19)),"◆","")</f>
        <v/>
      </c>
      <c r="CW19" s="57" t="str">
        <f aca="false">IF(AND(CW$7=$I19,ISNUMBER($I19)),"◆","")</f>
        <v/>
      </c>
      <c r="CX19" s="57" t="str">
        <f aca="false">IF(AND(CX$7=$I19,ISNUMBER($I19)),"◆","")</f>
        <v/>
      </c>
      <c r="CY19" s="57" t="str">
        <f aca="false">IF(AND(CY$7=$I19,ISNUMBER($I19)),"◆","")</f>
        <v/>
      </c>
      <c r="CZ19" s="57" t="str">
        <f aca="false">IF(AND(CZ$7=$I19,ISNUMBER($I19)),"◆","")</f>
        <v/>
      </c>
      <c r="DA19" s="57" t="str">
        <f aca="false">IF(AND(DA$7=$I19,ISNUMBER($I19)),"◆","")</f>
        <v/>
      </c>
      <c r="DB19" s="57" t="str">
        <f aca="false">IF(AND(DB$7=$I19,ISNUMBER($I19)),"◆","")</f>
        <v/>
      </c>
      <c r="DC19" s="57" t="str">
        <f aca="false">IF(AND(DC$7=$I19,ISNUMBER($I19)),"◆","")</f>
        <v/>
      </c>
      <c r="DD19" s="57" t="str">
        <f aca="false">IF(AND(DD$7=$I19,ISNUMBER($I19)),"◆","")</f>
        <v/>
      </c>
      <c r="DE19" s="57" t="str">
        <f aca="false">IF(AND(DE$7=$I19,ISNUMBER($I19)),"◆","")</f>
        <v/>
      </c>
      <c r="DF19" s="57" t="str">
        <f aca="false">IF(AND(DF$7=$I19,ISNUMBER($I19)),"◆","")</f>
        <v/>
      </c>
      <c r="DG19" s="57" t="str">
        <f aca="false">IF(AND(DG$7=$I19,ISNUMBER($I19)),"◆","")</f>
        <v/>
      </c>
      <c r="DH19" s="57" t="str">
        <f aca="false">IF(AND(DH$7=$I19,ISNUMBER($I19)),"◆","")</f>
        <v/>
      </c>
      <c r="DI19" s="57" t="str">
        <f aca="false">IF(AND(DI$7=$I19,ISNUMBER($I19)),"◆","")</f>
        <v/>
      </c>
      <c r="DJ19" s="57" t="str">
        <f aca="false">IF(AND(DJ$7=$I19,ISNUMBER($I19)),"◆","")</f>
        <v/>
      </c>
      <c r="DK19" s="57" t="str">
        <f aca="false">IF(AND(DK$7=$I19,ISNUMBER($I19)),"◆","")</f>
        <v/>
      </c>
      <c r="DL19" s="57" t="str">
        <f aca="false">IF(AND(DL$7=$I19,ISNUMBER($I19)),"◆","")</f>
        <v/>
      </c>
      <c r="DM19" s="57" t="str">
        <f aca="false">IF(AND(DM$7=$I19,ISNUMBER($I19)),"◆","")</f>
        <v/>
      </c>
      <c r="DN19" s="57" t="str">
        <f aca="false">IF(AND(DN$7=$I19,ISNUMBER($I19)),"◆","")</f>
        <v/>
      </c>
      <c r="DO19" s="57" t="str">
        <f aca="false">IF(AND(DO$7=$I19,ISNUMBER($I19)),"◆","")</f>
        <v/>
      </c>
      <c r="DP19" s="57" t="str">
        <f aca="false">IF(AND(DP$7=$I19,ISNUMBER($I19)),"◆","")</f>
        <v/>
      </c>
      <c r="DQ19" s="57" t="str">
        <f aca="false">IF(AND(DQ$7=$I19,ISNUMBER($I19)),"◆","")</f>
        <v/>
      </c>
      <c r="DR19" s="57" t="str">
        <f aca="false">IF(AND(DR$7=$I19,ISNUMBER($I19)),"◆","")</f>
        <v/>
      </c>
      <c r="DS19" s="57" t="str">
        <f aca="false">IF(AND(DS$7=$I19,ISNUMBER($I19)),"◆","")</f>
        <v/>
      </c>
      <c r="DT19" s="57" t="str">
        <f aca="false">IF(AND(DT$7=$I19,ISNUMBER($I19)),"◆","")</f>
        <v/>
      </c>
      <c r="DU19" s="57" t="str">
        <f aca="false">IF(AND(DU$7=$I19,ISNUMBER($I19)),"◆","")</f>
        <v/>
      </c>
      <c r="DV19" s="57" t="str">
        <f aca="false">IF(AND(DV$7=$I19,ISNUMBER($I19)),"◆","")</f>
        <v/>
      </c>
      <c r="DW19" s="57" t="str">
        <f aca="false">IF(AND(DW$7=$I19,ISNUMBER($I19)),"◆","")</f>
        <v/>
      </c>
      <c r="DX19" s="57" t="str">
        <f aca="false">IF(AND(DX$7=$I19,ISNUMBER($I19)),"◆","")</f>
        <v/>
      </c>
      <c r="DY19" s="57" t="str">
        <f aca="false">IF(AND(DY$7=$I19,ISNUMBER($I19)),"◆","")</f>
        <v/>
      </c>
      <c r="DZ19" s="57" t="str">
        <f aca="false">IF(AND(DZ$7=$I19,ISNUMBER($I19)),"◆","")</f>
        <v/>
      </c>
      <c r="EA19" s="57" t="str">
        <f aca="false">IF(AND(EA$7=$I19,ISNUMBER($I19)),"◆","")</f>
        <v/>
      </c>
      <c r="EB19" s="57" t="str">
        <f aca="false">IF(AND(EB$7=$I19,ISNUMBER($I19)),"◆","")</f>
        <v/>
      </c>
      <c r="EC19" s="57" t="str">
        <f aca="false">IF(AND(EC$7=$I19,ISNUMBER($I19)),"◆","")</f>
        <v/>
      </c>
      <c r="ED19" s="57" t="str">
        <f aca="false">IF(AND(ED$7=$I19,ISNUMBER($I19)),"◆","")</f>
        <v/>
      </c>
      <c r="EE19" s="57" t="str">
        <f aca="false">IF(AND(EE$7=$I19,ISNUMBER($I19)),"◆","")</f>
        <v/>
      </c>
      <c r="EF19" s="57" t="str">
        <f aca="false">IF(AND(EF$7=$I19,ISNUMBER($I19)),"◆","")</f>
        <v/>
      </c>
      <c r="EG19" s="57" t="str">
        <f aca="false">IF(AND(EG$7=$I19,ISNUMBER($I19)),"◆","")</f>
        <v/>
      </c>
      <c r="EH19" s="57" t="str">
        <f aca="false">IF(AND(EH$7=$I19,ISNUMBER($I19)),"◆","")</f>
        <v/>
      </c>
      <c r="EI19" s="57" t="str">
        <f aca="false">IF(AND(EI$7=$I19,ISNUMBER($I19)),"◆","")</f>
        <v/>
      </c>
      <c r="EJ19" s="57" t="str">
        <f aca="false">IF(AND(EJ$7=$I19,ISNUMBER($I19)),"◆","")</f>
        <v/>
      </c>
      <c r="EK19" s="57" t="str">
        <f aca="false">IF(AND(EK$7=$I19,ISNUMBER($I19)),"◆","")</f>
        <v/>
      </c>
      <c r="EL19" s="57" t="str">
        <f aca="false">IF(AND(EL$7=$I19,ISNUMBER($I19)),"◆","")</f>
        <v/>
      </c>
      <c r="EM19" s="57" t="str">
        <f aca="false">IF(AND(EM$7=$I19,ISNUMBER($I19)),"◆","")</f>
        <v/>
      </c>
      <c r="EN19" s="57" t="str">
        <f aca="false">IF(AND(EN$7=$I19,ISNUMBER($I19)),"◆","")</f>
        <v/>
      </c>
      <c r="EO19" s="57" t="str">
        <f aca="false">IF(AND(EO$7=$I19,ISNUMBER($I19)),"◆","")</f>
        <v/>
      </c>
      <c r="EP19" s="57" t="str">
        <f aca="false">IF(AND(EP$7=$I19,ISNUMBER($I19)),"◆","")</f>
        <v/>
      </c>
      <c r="EQ19" s="57" t="str">
        <f aca="false">IF(AND(EQ$7=$I19,ISNUMBER($I19)),"◆","")</f>
        <v/>
      </c>
      <c r="ER19" s="57" t="str">
        <f aca="false">IF(AND(ER$7=$I19,ISNUMBER($I19)),"◆","")</f>
        <v/>
      </c>
      <c r="ES19" s="57" t="str">
        <f aca="false">IF(AND(ES$7=$I19,ISNUMBER($I19)),"◆","")</f>
        <v/>
      </c>
      <c r="ET19" s="57" t="str">
        <f aca="false">IF(AND(ET$7=$I19,ISNUMBER($I19)),"◆","")</f>
        <v/>
      </c>
      <c r="EU19" s="57" t="str">
        <f aca="false">IF(AND(EU$7=$I19,ISNUMBER($I19)),"◆","")</f>
        <v/>
      </c>
      <c r="EV19" s="57" t="str">
        <f aca="false">IF(AND(EV$7=$I19,ISNUMBER($I19)),"◆","")</f>
        <v/>
      </c>
      <c r="EW19" s="57" t="str">
        <f aca="false">IF(AND(EW$7=$I19,ISNUMBER($I19)),"◆","")</f>
        <v/>
      </c>
      <c r="EX19" s="57" t="str">
        <f aca="false">IF(AND(EX$7=$I19,ISNUMBER($I19)),"◆","")</f>
        <v/>
      </c>
      <c r="EY19" s="57" t="str">
        <f aca="false">IF(AND(EY$7=$I19,ISNUMBER($I19)),"◆","")</f>
        <v/>
      </c>
      <c r="EZ19" s="57" t="str">
        <f aca="false">IF(AND(EZ$7=$I19,ISNUMBER($I19)),"◆","")</f>
        <v/>
      </c>
      <c r="FA19" s="57" t="str">
        <f aca="false">IF(AND(FA$7=$I19,ISNUMBER($I19)),"◆","")</f>
        <v/>
      </c>
      <c r="FB19" s="57" t="str">
        <f aca="false">IF(AND(FB$7=$I19,ISNUMBER($I19)),"◆","")</f>
        <v/>
      </c>
      <c r="FC19" s="57" t="str">
        <f aca="false">IF(AND(FC$7=$I19,ISNUMBER($I19)),"◆","")</f>
        <v/>
      </c>
      <c r="FD19" s="57" t="str">
        <f aca="false">IF(AND(FD$7=$I19,ISNUMBER($I19)),"◆","")</f>
        <v/>
      </c>
      <c r="FE19" s="57" t="str">
        <f aca="false">IF(AND(FE$7=$I19,ISNUMBER($I19)),"◆","")</f>
        <v/>
      </c>
      <c r="FF19" s="57" t="str">
        <f aca="false">IF(AND(FF$7=$I19,ISNUMBER($I19)),"◆","")</f>
        <v/>
      </c>
      <c r="FG19" s="57" t="str">
        <f aca="false">IF(AND(FG$7=$I19,ISNUMBER($I19)),"◆","")</f>
        <v/>
      </c>
      <c r="FH19" s="57" t="str">
        <f aca="false">IF(AND(FH$7=$I19,ISNUMBER($I19)),"◆","")</f>
        <v/>
      </c>
      <c r="FI19" s="57" t="str">
        <f aca="false">IF(AND(FI$7=$I19,ISNUMBER($I19)),"◆","")</f>
        <v/>
      </c>
      <c r="FJ19" s="57" t="str">
        <f aca="false">IF(AND(FJ$7=$I19,ISNUMBER($I19)),"◆","")</f>
        <v/>
      </c>
      <c r="FK19" s="57" t="str">
        <f aca="false">IF(AND(FK$7=$I19,ISNUMBER($I19)),"◆","")</f>
        <v/>
      </c>
      <c r="FL19" s="57" t="str">
        <f aca="false">IF(AND(FL$7=$I19,ISNUMBER($I19)),"◆","")</f>
        <v/>
      </c>
      <c r="FM19" s="57" t="str">
        <f aca="false">IF(AND(FM$7=$I19,ISNUMBER($I19)),"◆","")</f>
        <v/>
      </c>
      <c r="FN19" s="57" t="str">
        <f aca="false">IF(AND(FN$7=$I19,ISNUMBER($I19)),"◆","")</f>
        <v/>
      </c>
      <c r="FO19" s="57" t="str">
        <f aca="false">IF(AND(FO$7=$I19,ISNUMBER($I19)),"◆","")</f>
        <v/>
      </c>
      <c r="FP19" s="57" t="str">
        <f aca="false">IF(AND(FP$7=$I19,ISNUMBER($I19)),"◆","")</f>
        <v/>
      </c>
      <c r="FQ19" s="57" t="str">
        <f aca="false">IF(AND(FQ$7=$I19,ISNUMBER($I19)),"◆","")</f>
        <v/>
      </c>
      <c r="FR19" s="57" t="str">
        <f aca="false">IF(AND(FR$7=$I19,ISNUMBER($I19)),"◆","")</f>
        <v/>
      </c>
      <c r="FS19" s="57" t="str">
        <f aca="false">IF(AND(FS$7=$I19,ISNUMBER($I19)),"◆","")</f>
        <v/>
      </c>
      <c r="FT19" s="57" t="str">
        <f aca="false">IF(AND(FT$7=$I19,ISNUMBER($I19)),"◆","")</f>
        <v/>
      </c>
      <c r="FU19" s="57" t="str">
        <f aca="false">IF(AND(FU$7=$I19,ISNUMBER($I19)),"◆","")</f>
        <v/>
      </c>
      <c r="FV19" s="57" t="str">
        <f aca="false">IF(AND(FV$7=$I19,ISNUMBER($I19)),"◆","")</f>
        <v/>
      </c>
    </row>
    <row r="20" customFormat="false" ht="25.5" hidden="false" customHeight="true" outlineLevel="0" collapsed="false">
      <c r="A20" s="50" t="str">
        <f aca="false">制作工程表!A17</f>
        <v>T09</v>
      </c>
      <c r="B20" s="51" t="str">
        <f aca="false">制作工程表!B17</f>
        <v>取材準備</v>
      </c>
      <c r="C20" s="52" t="str">
        <f aca="false">制作工程表!C17</f>
        <v>香盤・安全ルールのご確認</v>
      </c>
      <c r="D20" s="53" t="str">
        <f aca="false">制作工程表!D17</f>
        <v>広報窓口</v>
      </c>
      <c r="E20" s="53" t="str">
        <f aca="false">制作工程表!E17</f>
        <v>製造部・出演者</v>
      </c>
      <c r="F20" s="54" t="str">
        <f aca="false">IF(制作工程表!B17="取材撮影","撮影",IF(OR(制作工程表!D17="広報窓口",制作工程表!D17="代表",制作工程表!D17="技術営業課",制作工程表!D17="品質管理課",制作工程表!D17="製造部"),"企業","制作"))</f>
        <v>企業</v>
      </c>
      <c r="G20" s="55" t="n">
        <f aca="false">制作工程表!G17</f>
        <v>46373</v>
      </c>
      <c r="H20" s="55" t="n">
        <f aca="false">制作工程表!H17</f>
        <v>46381</v>
      </c>
      <c r="I20" s="56" t="n">
        <f aca="false">制作工程表!I17</f>
        <v>46381</v>
      </c>
      <c r="J20" s="51" t="str">
        <f aca="false">制作工程表!K17</f>
        <v>未着手</v>
      </c>
      <c r="K20" s="57" t="str">
        <f aca="false">IF(AND(K$7=$I20,ISNUMBER($I20)),"◆","")</f>
        <v/>
      </c>
      <c r="L20" s="57" t="str">
        <f aca="false">IF(AND(L$7=$I20,ISNUMBER($I20)),"◆","")</f>
        <v/>
      </c>
      <c r="M20" s="57" t="str">
        <f aca="false">IF(AND(M$7=$I20,ISNUMBER($I20)),"◆","")</f>
        <v/>
      </c>
      <c r="N20" s="57" t="str">
        <f aca="false">IF(AND(N$7=$I20,ISNUMBER($I20)),"◆","")</f>
        <v/>
      </c>
      <c r="O20" s="57" t="str">
        <f aca="false">IF(AND(O$7=$I20,ISNUMBER($I20)),"◆","")</f>
        <v/>
      </c>
      <c r="P20" s="57" t="str">
        <f aca="false">IF(AND(P$7=$I20,ISNUMBER($I20)),"◆","")</f>
        <v/>
      </c>
      <c r="Q20" s="57" t="str">
        <f aca="false">IF(AND(Q$7=$I20,ISNUMBER($I20)),"◆","")</f>
        <v/>
      </c>
      <c r="R20" s="57" t="str">
        <f aca="false">IF(AND(R$7=$I20,ISNUMBER($I20)),"◆","")</f>
        <v/>
      </c>
      <c r="S20" s="57" t="str">
        <f aca="false">IF(AND(S$7=$I20,ISNUMBER($I20)),"◆","")</f>
        <v/>
      </c>
      <c r="T20" s="57" t="str">
        <f aca="false">IF(AND(T$7=$I20,ISNUMBER($I20)),"◆","")</f>
        <v/>
      </c>
      <c r="U20" s="57" t="str">
        <f aca="false">IF(AND(U$7=$I20,ISNUMBER($I20)),"◆","")</f>
        <v/>
      </c>
      <c r="V20" s="57" t="str">
        <f aca="false">IF(AND(V$7=$I20,ISNUMBER($I20)),"◆","")</f>
        <v/>
      </c>
      <c r="W20" s="57" t="str">
        <f aca="false">IF(AND(W$7=$I20,ISNUMBER($I20)),"◆","")</f>
        <v/>
      </c>
      <c r="X20" s="57" t="str">
        <f aca="false">IF(AND(X$7=$I20,ISNUMBER($I20)),"◆","")</f>
        <v/>
      </c>
      <c r="Y20" s="57" t="str">
        <f aca="false">IF(AND(Y$7=$I20,ISNUMBER($I20)),"◆","")</f>
        <v/>
      </c>
      <c r="Z20" s="57" t="str">
        <f aca="false">IF(AND(Z$7=$I20,ISNUMBER($I20)),"◆","")</f>
        <v/>
      </c>
      <c r="AA20" s="57" t="str">
        <f aca="false">IF(AND(AA$7=$I20,ISNUMBER($I20)),"◆","")</f>
        <v/>
      </c>
      <c r="AB20" s="57" t="str">
        <f aca="false">IF(AND(AB$7=$I20,ISNUMBER($I20)),"◆","")</f>
        <v/>
      </c>
      <c r="AC20" s="57" t="str">
        <f aca="false">IF(AND(AC$7=$I20,ISNUMBER($I20)),"◆","")</f>
        <v/>
      </c>
      <c r="AD20" s="57" t="str">
        <f aca="false">IF(AND(AD$7=$I20,ISNUMBER($I20)),"◆","")</f>
        <v/>
      </c>
      <c r="AE20" s="57" t="str">
        <f aca="false">IF(AND(AE$7=$I20,ISNUMBER($I20)),"◆","")</f>
        <v/>
      </c>
      <c r="AF20" s="57" t="str">
        <f aca="false">IF(AND(AF$7=$I20,ISNUMBER($I20)),"◆","")</f>
        <v/>
      </c>
      <c r="AG20" s="57" t="str">
        <f aca="false">IF(AND(AG$7=$I20,ISNUMBER($I20)),"◆","")</f>
        <v/>
      </c>
      <c r="AH20" s="57" t="str">
        <f aca="false">IF(AND(AH$7=$I20,ISNUMBER($I20)),"◆","")</f>
        <v/>
      </c>
      <c r="AI20" s="57" t="str">
        <f aca="false">IF(AND(AI$7=$I20,ISNUMBER($I20)),"◆","")</f>
        <v/>
      </c>
      <c r="AJ20" s="57" t="str">
        <f aca="false">IF(AND(AJ$7=$I20,ISNUMBER($I20)),"◆","")</f>
        <v/>
      </c>
      <c r="AK20" s="57" t="str">
        <f aca="false">IF(AND(AK$7=$I20,ISNUMBER($I20)),"◆","")</f>
        <v/>
      </c>
      <c r="AL20" s="57" t="str">
        <f aca="false">IF(AND(AL$7=$I20,ISNUMBER($I20)),"◆","")</f>
        <v/>
      </c>
      <c r="AM20" s="57" t="str">
        <f aca="false">IF(AND(AM$7=$I20,ISNUMBER($I20)),"◆","")</f>
        <v/>
      </c>
      <c r="AN20" s="57" t="str">
        <f aca="false">IF(AND(AN$7=$I20,ISNUMBER($I20)),"◆","")</f>
        <v/>
      </c>
      <c r="AO20" s="57" t="str">
        <f aca="false">IF(AND(AO$7=$I20,ISNUMBER($I20)),"◆","")</f>
        <v/>
      </c>
      <c r="AP20" s="57" t="str">
        <f aca="false">IF(AND(AP$7=$I20,ISNUMBER($I20)),"◆","")</f>
        <v/>
      </c>
      <c r="AQ20" s="57" t="str">
        <f aca="false">IF(AND(AQ$7=$I20,ISNUMBER($I20)),"◆","")</f>
        <v/>
      </c>
      <c r="AR20" s="57" t="str">
        <f aca="false">IF(AND(AR$7=$I20,ISNUMBER($I20)),"◆","")</f>
        <v/>
      </c>
      <c r="AS20" s="57" t="str">
        <f aca="false">IF(AND(AS$7=$I20,ISNUMBER($I20)),"◆","")</f>
        <v/>
      </c>
      <c r="AT20" s="57" t="str">
        <f aca="false">IF(AND(AT$7=$I20,ISNUMBER($I20)),"◆","")</f>
        <v/>
      </c>
      <c r="AU20" s="57" t="str">
        <f aca="false">IF(AND(AU$7=$I20,ISNUMBER($I20)),"◆","")</f>
        <v/>
      </c>
      <c r="AV20" s="57" t="str">
        <f aca="false">IF(AND(AV$7=$I20,ISNUMBER($I20)),"◆","")</f>
        <v/>
      </c>
      <c r="AW20" s="57" t="str">
        <f aca="false">IF(AND(AW$7=$I20,ISNUMBER($I20)),"◆","")</f>
        <v/>
      </c>
      <c r="AX20" s="57" t="str">
        <f aca="false">IF(AND(AX$7=$I20,ISNUMBER($I20)),"◆","")</f>
        <v/>
      </c>
      <c r="AY20" s="57" t="str">
        <f aca="false">IF(AND(AY$7=$I20,ISNUMBER($I20)),"◆","")</f>
        <v/>
      </c>
      <c r="AZ20" s="57" t="str">
        <f aca="false">IF(AND(AZ$7=$I20,ISNUMBER($I20)),"◆","")</f>
        <v/>
      </c>
      <c r="BA20" s="57" t="str">
        <f aca="false">IF(AND(BA$7=$I20,ISNUMBER($I20)),"◆","")</f>
        <v/>
      </c>
      <c r="BB20" s="57" t="str">
        <f aca="false">IF(AND(BB$7=$I20,ISNUMBER($I20)),"◆","")</f>
        <v/>
      </c>
      <c r="BC20" s="57" t="str">
        <f aca="false">IF(AND(BC$7=$I20,ISNUMBER($I20)),"◆","")</f>
        <v/>
      </c>
      <c r="BD20" s="57" t="str">
        <f aca="false">IF(AND(BD$7=$I20,ISNUMBER($I20)),"◆","")</f>
        <v/>
      </c>
      <c r="BE20" s="57" t="str">
        <f aca="false">IF(AND(BE$7=$I20,ISNUMBER($I20)),"◆","")</f>
        <v/>
      </c>
      <c r="BF20" s="57" t="str">
        <f aca="false">IF(AND(BF$7=$I20,ISNUMBER($I20)),"◆","")</f>
        <v/>
      </c>
      <c r="BG20" s="57" t="str">
        <f aca="false">IF(AND(BG$7=$I20,ISNUMBER($I20)),"◆","")</f>
        <v/>
      </c>
      <c r="BH20" s="57" t="str">
        <f aca="false">IF(AND(BH$7=$I20,ISNUMBER($I20)),"◆","")</f>
        <v/>
      </c>
      <c r="BI20" s="57" t="str">
        <f aca="false">IF(AND(BI$7=$I20,ISNUMBER($I20)),"◆","")</f>
        <v/>
      </c>
      <c r="BJ20" s="57" t="str">
        <f aca="false">IF(AND(BJ$7=$I20,ISNUMBER($I20)),"◆","")</f>
        <v/>
      </c>
      <c r="BK20" s="57" t="str">
        <f aca="false">IF(AND(BK$7=$I20,ISNUMBER($I20)),"◆","")</f>
        <v/>
      </c>
      <c r="BL20" s="57" t="str">
        <f aca="false">IF(AND(BL$7=$I20,ISNUMBER($I20)),"◆","")</f>
        <v>◆</v>
      </c>
      <c r="BM20" s="57" t="str">
        <f aca="false">IF(AND(BM$7=$I20,ISNUMBER($I20)),"◆","")</f>
        <v/>
      </c>
      <c r="BN20" s="57" t="str">
        <f aca="false">IF(AND(BN$7=$I20,ISNUMBER($I20)),"◆","")</f>
        <v/>
      </c>
      <c r="BO20" s="57" t="str">
        <f aca="false">IF(AND(BO$7=$I20,ISNUMBER($I20)),"◆","")</f>
        <v/>
      </c>
      <c r="BP20" s="57" t="str">
        <f aca="false">IF(AND(BP$7=$I20,ISNUMBER($I20)),"◆","")</f>
        <v/>
      </c>
      <c r="BQ20" s="57" t="str">
        <f aca="false">IF(AND(BQ$7=$I20,ISNUMBER($I20)),"◆","")</f>
        <v/>
      </c>
      <c r="BR20" s="57" t="str">
        <f aca="false">IF(AND(BR$7=$I20,ISNUMBER($I20)),"◆","")</f>
        <v/>
      </c>
      <c r="BS20" s="57" t="str">
        <f aca="false">IF(AND(BS$7=$I20,ISNUMBER($I20)),"◆","")</f>
        <v/>
      </c>
      <c r="BT20" s="57" t="str">
        <f aca="false">IF(AND(BT$7=$I20,ISNUMBER($I20)),"◆","")</f>
        <v/>
      </c>
      <c r="BU20" s="57" t="str">
        <f aca="false">IF(AND(BU$7=$I20,ISNUMBER($I20)),"◆","")</f>
        <v/>
      </c>
      <c r="BV20" s="57" t="str">
        <f aca="false">IF(AND(BV$7=$I20,ISNUMBER($I20)),"◆","")</f>
        <v/>
      </c>
      <c r="BW20" s="57" t="str">
        <f aca="false">IF(AND(BW$7=$I20,ISNUMBER($I20)),"◆","")</f>
        <v/>
      </c>
      <c r="BX20" s="57" t="str">
        <f aca="false">IF(AND(BX$7=$I20,ISNUMBER($I20)),"◆","")</f>
        <v/>
      </c>
      <c r="BY20" s="57" t="str">
        <f aca="false">IF(AND(BY$7=$I20,ISNUMBER($I20)),"◆","")</f>
        <v/>
      </c>
      <c r="BZ20" s="57" t="str">
        <f aca="false">IF(AND(BZ$7=$I20,ISNUMBER($I20)),"◆","")</f>
        <v/>
      </c>
      <c r="CA20" s="57" t="str">
        <f aca="false">IF(AND(CA$7=$I20,ISNUMBER($I20)),"◆","")</f>
        <v/>
      </c>
      <c r="CB20" s="57" t="str">
        <f aca="false">IF(AND(CB$7=$I20,ISNUMBER($I20)),"◆","")</f>
        <v/>
      </c>
      <c r="CC20" s="57" t="str">
        <f aca="false">IF(AND(CC$7=$I20,ISNUMBER($I20)),"◆","")</f>
        <v/>
      </c>
      <c r="CD20" s="57" t="str">
        <f aca="false">IF(AND(CD$7=$I20,ISNUMBER($I20)),"◆","")</f>
        <v/>
      </c>
      <c r="CE20" s="57" t="str">
        <f aca="false">IF(AND(CE$7=$I20,ISNUMBER($I20)),"◆","")</f>
        <v/>
      </c>
      <c r="CF20" s="57" t="str">
        <f aca="false">IF(AND(CF$7=$I20,ISNUMBER($I20)),"◆","")</f>
        <v/>
      </c>
      <c r="CG20" s="57" t="str">
        <f aca="false">IF(AND(CG$7=$I20,ISNUMBER($I20)),"◆","")</f>
        <v/>
      </c>
      <c r="CH20" s="57" t="str">
        <f aca="false">IF(AND(CH$7=$I20,ISNUMBER($I20)),"◆","")</f>
        <v/>
      </c>
      <c r="CI20" s="57" t="str">
        <f aca="false">IF(AND(CI$7=$I20,ISNUMBER($I20)),"◆","")</f>
        <v/>
      </c>
      <c r="CJ20" s="57" t="str">
        <f aca="false">IF(AND(CJ$7=$I20,ISNUMBER($I20)),"◆","")</f>
        <v/>
      </c>
      <c r="CK20" s="57" t="str">
        <f aca="false">IF(AND(CK$7=$I20,ISNUMBER($I20)),"◆","")</f>
        <v/>
      </c>
      <c r="CL20" s="57" t="str">
        <f aca="false">IF(AND(CL$7=$I20,ISNUMBER($I20)),"◆","")</f>
        <v/>
      </c>
      <c r="CM20" s="57" t="str">
        <f aca="false">IF(AND(CM$7=$I20,ISNUMBER($I20)),"◆","")</f>
        <v/>
      </c>
      <c r="CN20" s="57" t="str">
        <f aca="false">IF(AND(CN$7=$I20,ISNUMBER($I20)),"◆","")</f>
        <v/>
      </c>
      <c r="CO20" s="57" t="str">
        <f aca="false">IF(AND(CO$7=$I20,ISNUMBER($I20)),"◆","")</f>
        <v/>
      </c>
      <c r="CP20" s="57" t="str">
        <f aca="false">IF(AND(CP$7=$I20,ISNUMBER($I20)),"◆","")</f>
        <v/>
      </c>
      <c r="CQ20" s="57" t="str">
        <f aca="false">IF(AND(CQ$7=$I20,ISNUMBER($I20)),"◆","")</f>
        <v/>
      </c>
      <c r="CR20" s="57" t="str">
        <f aca="false">IF(AND(CR$7=$I20,ISNUMBER($I20)),"◆","")</f>
        <v/>
      </c>
      <c r="CS20" s="57" t="str">
        <f aca="false">IF(AND(CS$7=$I20,ISNUMBER($I20)),"◆","")</f>
        <v/>
      </c>
      <c r="CT20" s="57" t="str">
        <f aca="false">IF(AND(CT$7=$I20,ISNUMBER($I20)),"◆","")</f>
        <v/>
      </c>
      <c r="CU20" s="57" t="str">
        <f aca="false">IF(AND(CU$7=$I20,ISNUMBER($I20)),"◆","")</f>
        <v/>
      </c>
      <c r="CV20" s="57" t="str">
        <f aca="false">IF(AND(CV$7=$I20,ISNUMBER($I20)),"◆","")</f>
        <v/>
      </c>
      <c r="CW20" s="57" t="str">
        <f aca="false">IF(AND(CW$7=$I20,ISNUMBER($I20)),"◆","")</f>
        <v/>
      </c>
      <c r="CX20" s="57" t="str">
        <f aca="false">IF(AND(CX$7=$I20,ISNUMBER($I20)),"◆","")</f>
        <v/>
      </c>
      <c r="CY20" s="57" t="str">
        <f aca="false">IF(AND(CY$7=$I20,ISNUMBER($I20)),"◆","")</f>
        <v/>
      </c>
      <c r="CZ20" s="57" t="str">
        <f aca="false">IF(AND(CZ$7=$I20,ISNUMBER($I20)),"◆","")</f>
        <v/>
      </c>
      <c r="DA20" s="57" t="str">
        <f aca="false">IF(AND(DA$7=$I20,ISNUMBER($I20)),"◆","")</f>
        <v/>
      </c>
      <c r="DB20" s="57" t="str">
        <f aca="false">IF(AND(DB$7=$I20,ISNUMBER($I20)),"◆","")</f>
        <v/>
      </c>
      <c r="DC20" s="57" t="str">
        <f aca="false">IF(AND(DC$7=$I20,ISNUMBER($I20)),"◆","")</f>
        <v/>
      </c>
      <c r="DD20" s="57" t="str">
        <f aca="false">IF(AND(DD$7=$I20,ISNUMBER($I20)),"◆","")</f>
        <v/>
      </c>
      <c r="DE20" s="57" t="str">
        <f aca="false">IF(AND(DE$7=$I20,ISNUMBER($I20)),"◆","")</f>
        <v/>
      </c>
      <c r="DF20" s="57" t="str">
        <f aca="false">IF(AND(DF$7=$I20,ISNUMBER($I20)),"◆","")</f>
        <v/>
      </c>
      <c r="DG20" s="57" t="str">
        <f aca="false">IF(AND(DG$7=$I20,ISNUMBER($I20)),"◆","")</f>
        <v/>
      </c>
      <c r="DH20" s="57" t="str">
        <f aca="false">IF(AND(DH$7=$I20,ISNUMBER($I20)),"◆","")</f>
        <v/>
      </c>
      <c r="DI20" s="57" t="str">
        <f aca="false">IF(AND(DI$7=$I20,ISNUMBER($I20)),"◆","")</f>
        <v/>
      </c>
      <c r="DJ20" s="57" t="str">
        <f aca="false">IF(AND(DJ$7=$I20,ISNUMBER($I20)),"◆","")</f>
        <v/>
      </c>
      <c r="DK20" s="57" t="str">
        <f aca="false">IF(AND(DK$7=$I20,ISNUMBER($I20)),"◆","")</f>
        <v/>
      </c>
      <c r="DL20" s="57" t="str">
        <f aca="false">IF(AND(DL$7=$I20,ISNUMBER($I20)),"◆","")</f>
        <v/>
      </c>
      <c r="DM20" s="57" t="str">
        <f aca="false">IF(AND(DM$7=$I20,ISNUMBER($I20)),"◆","")</f>
        <v/>
      </c>
      <c r="DN20" s="57" t="str">
        <f aca="false">IF(AND(DN$7=$I20,ISNUMBER($I20)),"◆","")</f>
        <v/>
      </c>
      <c r="DO20" s="57" t="str">
        <f aca="false">IF(AND(DO$7=$I20,ISNUMBER($I20)),"◆","")</f>
        <v/>
      </c>
      <c r="DP20" s="57" t="str">
        <f aca="false">IF(AND(DP$7=$I20,ISNUMBER($I20)),"◆","")</f>
        <v/>
      </c>
      <c r="DQ20" s="57" t="str">
        <f aca="false">IF(AND(DQ$7=$I20,ISNUMBER($I20)),"◆","")</f>
        <v/>
      </c>
      <c r="DR20" s="57" t="str">
        <f aca="false">IF(AND(DR$7=$I20,ISNUMBER($I20)),"◆","")</f>
        <v/>
      </c>
      <c r="DS20" s="57" t="str">
        <f aca="false">IF(AND(DS$7=$I20,ISNUMBER($I20)),"◆","")</f>
        <v/>
      </c>
      <c r="DT20" s="57" t="str">
        <f aca="false">IF(AND(DT$7=$I20,ISNUMBER($I20)),"◆","")</f>
        <v/>
      </c>
      <c r="DU20" s="57" t="str">
        <f aca="false">IF(AND(DU$7=$I20,ISNUMBER($I20)),"◆","")</f>
        <v/>
      </c>
      <c r="DV20" s="57" t="str">
        <f aca="false">IF(AND(DV$7=$I20,ISNUMBER($I20)),"◆","")</f>
        <v/>
      </c>
      <c r="DW20" s="57" t="str">
        <f aca="false">IF(AND(DW$7=$I20,ISNUMBER($I20)),"◆","")</f>
        <v/>
      </c>
      <c r="DX20" s="57" t="str">
        <f aca="false">IF(AND(DX$7=$I20,ISNUMBER($I20)),"◆","")</f>
        <v/>
      </c>
      <c r="DY20" s="57" t="str">
        <f aca="false">IF(AND(DY$7=$I20,ISNUMBER($I20)),"◆","")</f>
        <v/>
      </c>
      <c r="DZ20" s="57" t="str">
        <f aca="false">IF(AND(DZ$7=$I20,ISNUMBER($I20)),"◆","")</f>
        <v/>
      </c>
      <c r="EA20" s="57" t="str">
        <f aca="false">IF(AND(EA$7=$I20,ISNUMBER($I20)),"◆","")</f>
        <v/>
      </c>
      <c r="EB20" s="57" t="str">
        <f aca="false">IF(AND(EB$7=$I20,ISNUMBER($I20)),"◆","")</f>
        <v/>
      </c>
      <c r="EC20" s="57" t="str">
        <f aca="false">IF(AND(EC$7=$I20,ISNUMBER($I20)),"◆","")</f>
        <v/>
      </c>
      <c r="ED20" s="57" t="str">
        <f aca="false">IF(AND(ED$7=$I20,ISNUMBER($I20)),"◆","")</f>
        <v/>
      </c>
      <c r="EE20" s="57" t="str">
        <f aca="false">IF(AND(EE$7=$I20,ISNUMBER($I20)),"◆","")</f>
        <v/>
      </c>
      <c r="EF20" s="57" t="str">
        <f aca="false">IF(AND(EF$7=$I20,ISNUMBER($I20)),"◆","")</f>
        <v/>
      </c>
      <c r="EG20" s="57" t="str">
        <f aca="false">IF(AND(EG$7=$I20,ISNUMBER($I20)),"◆","")</f>
        <v/>
      </c>
      <c r="EH20" s="57" t="str">
        <f aca="false">IF(AND(EH$7=$I20,ISNUMBER($I20)),"◆","")</f>
        <v/>
      </c>
      <c r="EI20" s="57" t="str">
        <f aca="false">IF(AND(EI$7=$I20,ISNUMBER($I20)),"◆","")</f>
        <v/>
      </c>
      <c r="EJ20" s="57" t="str">
        <f aca="false">IF(AND(EJ$7=$I20,ISNUMBER($I20)),"◆","")</f>
        <v/>
      </c>
      <c r="EK20" s="57" t="str">
        <f aca="false">IF(AND(EK$7=$I20,ISNUMBER($I20)),"◆","")</f>
        <v/>
      </c>
      <c r="EL20" s="57" t="str">
        <f aca="false">IF(AND(EL$7=$I20,ISNUMBER($I20)),"◆","")</f>
        <v/>
      </c>
      <c r="EM20" s="57" t="str">
        <f aca="false">IF(AND(EM$7=$I20,ISNUMBER($I20)),"◆","")</f>
        <v/>
      </c>
      <c r="EN20" s="57" t="str">
        <f aca="false">IF(AND(EN$7=$I20,ISNUMBER($I20)),"◆","")</f>
        <v/>
      </c>
      <c r="EO20" s="57" t="str">
        <f aca="false">IF(AND(EO$7=$I20,ISNUMBER($I20)),"◆","")</f>
        <v/>
      </c>
      <c r="EP20" s="57" t="str">
        <f aca="false">IF(AND(EP$7=$I20,ISNUMBER($I20)),"◆","")</f>
        <v/>
      </c>
      <c r="EQ20" s="57" t="str">
        <f aca="false">IF(AND(EQ$7=$I20,ISNUMBER($I20)),"◆","")</f>
        <v/>
      </c>
      <c r="ER20" s="57" t="str">
        <f aca="false">IF(AND(ER$7=$I20,ISNUMBER($I20)),"◆","")</f>
        <v/>
      </c>
      <c r="ES20" s="57" t="str">
        <f aca="false">IF(AND(ES$7=$I20,ISNUMBER($I20)),"◆","")</f>
        <v/>
      </c>
      <c r="ET20" s="57" t="str">
        <f aca="false">IF(AND(ET$7=$I20,ISNUMBER($I20)),"◆","")</f>
        <v/>
      </c>
      <c r="EU20" s="57" t="str">
        <f aca="false">IF(AND(EU$7=$I20,ISNUMBER($I20)),"◆","")</f>
        <v/>
      </c>
      <c r="EV20" s="57" t="str">
        <f aca="false">IF(AND(EV$7=$I20,ISNUMBER($I20)),"◆","")</f>
        <v/>
      </c>
      <c r="EW20" s="57" t="str">
        <f aca="false">IF(AND(EW$7=$I20,ISNUMBER($I20)),"◆","")</f>
        <v/>
      </c>
      <c r="EX20" s="57" t="str">
        <f aca="false">IF(AND(EX$7=$I20,ISNUMBER($I20)),"◆","")</f>
        <v/>
      </c>
      <c r="EY20" s="57" t="str">
        <f aca="false">IF(AND(EY$7=$I20,ISNUMBER($I20)),"◆","")</f>
        <v/>
      </c>
      <c r="EZ20" s="57" t="str">
        <f aca="false">IF(AND(EZ$7=$I20,ISNUMBER($I20)),"◆","")</f>
        <v/>
      </c>
      <c r="FA20" s="57" t="str">
        <f aca="false">IF(AND(FA$7=$I20,ISNUMBER($I20)),"◆","")</f>
        <v/>
      </c>
      <c r="FB20" s="57" t="str">
        <f aca="false">IF(AND(FB$7=$I20,ISNUMBER($I20)),"◆","")</f>
        <v/>
      </c>
      <c r="FC20" s="57" t="str">
        <f aca="false">IF(AND(FC$7=$I20,ISNUMBER($I20)),"◆","")</f>
        <v/>
      </c>
      <c r="FD20" s="57" t="str">
        <f aca="false">IF(AND(FD$7=$I20,ISNUMBER($I20)),"◆","")</f>
        <v/>
      </c>
      <c r="FE20" s="57" t="str">
        <f aca="false">IF(AND(FE$7=$I20,ISNUMBER($I20)),"◆","")</f>
        <v/>
      </c>
      <c r="FF20" s="57" t="str">
        <f aca="false">IF(AND(FF$7=$I20,ISNUMBER($I20)),"◆","")</f>
        <v/>
      </c>
      <c r="FG20" s="57" t="str">
        <f aca="false">IF(AND(FG$7=$I20,ISNUMBER($I20)),"◆","")</f>
        <v/>
      </c>
      <c r="FH20" s="57" t="str">
        <f aca="false">IF(AND(FH$7=$I20,ISNUMBER($I20)),"◆","")</f>
        <v/>
      </c>
      <c r="FI20" s="57" t="str">
        <f aca="false">IF(AND(FI$7=$I20,ISNUMBER($I20)),"◆","")</f>
        <v/>
      </c>
      <c r="FJ20" s="57" t="str">
        <f aca="false">IF(AND(FJ$7=$I20,ISNUMBER($I20)),"◆","")</f>
        <v/>
      </c>
      <c r="FK20" s="57" t="str">
        <f aca="false">IF(AND(FK$7=$I20,ISNUMBER($I20)),"◆","")</f>
        <v/>
      </c>
      <c r="FL20" s="57" t="str">
        <f aca="false">IF(AND(FL$7=$I20,ISNUMBER($I20)),"◆","")</f>
        <v/>
      </c>
      <c r="FM20" s="57" t="str">
        <f aca="false">IF(AND(FM$7=$I20,ISNUMBER($I20)),"◆","")</f>
        <v/>
      </c>
      <c r="FN20" s="57" t="str">
        <f aca="false">IF(AND(FN$7=$I20,ISNUMBER($I20)),"◆","")</f>
        <v/>
      </c>
      <c r="FO20" s="57" t="str">
        <f aca="false">IF(AND(FO$7=$I20,ISNUMBER($I20)),"◆","")</f>
        <v/>
      </c>
      <c r="FP20" s="57" t="str">
        <f aca="false">IF(AND(FP$7=$I20,ISNUMBER($I20)),"◆","")</f>
        <v/>
      </c>
      <c r="FQ20" s="57" t="str">
        <f aca="false">IF(AND(FQ$7=$I20,ISNUMBER($I20)),"◆","")</f>
        <v/>
      </c>
      <c r="FR20" s="57" t="str">
        <f aca="false">IF(AND(FR$7=$I20,ISNUMBER($I20)),"◆","")</f>
        <v/>
      </c>
      <c r="FS20" s="57" t="str">
        <f aca="false">IF(AND(FS$7=$I20,ISNUMBER($I20)),"◆","")</f>
        <v/>
      </c>
      <c r="FT20" s="57" t="str">
        <f aca="false">IF(AND(FT$7=$I20,ISNUMBER($I20)),"◆","")</f>
        <v/>
      </c>
      <c r="FU20" s="57" t="str">
        <f aca="false">IF(AND(FU$7=$I20,ISNUMBER($I20)),"◆","")</f>
        <v/>
      </c>
      <c r="FV20" s="57" t="str">
        <f aca="false">IF(AND(FV$7=$I20,ISNUMBER($I20)),"◆","")</f>
        <v/>
      </c>
    </row>
    <row r="21" customFormat="false" ht="21.75" hidden="false" customHeight="true" outlineLevel="0" collapsed="false">
      <c r="A21" s="45" t="s">
        <v>78</v>
      </c>
      <c r="B21" s="45"/>
      <c r="C21" s="45"/>
      <c r="D21" s="45"/>
      <c r="E21" s="45"/>
      <c r="F21" s="46" t="s">
        <v>76</v>
      </c>
      <c r="G21" s="47" t="n">
        <f aca="false">MIN(制作工程表!G18:G21)</f>
        <v>46393</v>
      </c>
      <c r="H21" s="47" t="n">
        <f aca="false">MAX(制作工程表!H18:H21)</f>
        <v>46407</v>
      </c>
      <c r="I21" s="47" t="str">
        <f aca="false">IF(MAX(制作工程表!I18:I21)=0,"—",MAX(制作工程表!I18:I21))</f>
        <v>—</v>
      </c>
      <c r="J21" s="48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</row>
    <row r="22" customFormat="false" ht="25.5" hidden="false" customHeight="true" outlineLevel="0" collapsed="false">
      <c r="A22" s="50" t="str">
        <f aca="false">制作工程表!A18</f>
        <v>T10</v>
      </c>
      <c r="B22" s="51" t="str">
        <f aca="false">制作工程表!B18</f>
        <v>取材撮影</v>
      </c>
      <c r="C22" s="52" t="str">
        <f aca="false">制作工程表!C18</f>
        <v>加工工場の取材・撮影</v>
      </c>
      <c r="D22" s="53" t="str">
        <f aca="false">制作工程表!D18</f>
        <v>ライター・カメラマン</v>
      </c>
      <c r="E22" s="53" t="str">
        <f aca="false">制作工程表!E18</f>
        <v>製造部</v>
      </c>
      <c r="F22" s="54" t="str">
        <f aca="false">IF(制作工程表!B18="取材撮影","撮影",IF(OR(制作工程表!D18="広報窓口",制作工程表!D18="代表",制作工程表!D18="技術営業課",制作工程表!D18="品質管理課",制作工程表!D18="製造部"),"企業","制作"))</f>
        <v>撮影</v>
      </c>
      <c r="G22" s="55" t="n">
        <f aca="false">制作工程表!G18</f>
        <v>46393</v>
      </c>
      <c r="H22" s="55" t="n">
        <f aca="false">制作工程表!H18</f>
        <v>46393</v>
      </c>
      <c r="I22" s="56" t="str">
        <f aca="false">制作工程表!I18</f>
        <v>—</v>
      </c>
      <c r="J22" s="51" t="str">
        <f aca="false">制作工程表!K18</f>
        <v>未着手</v>
      </c>
      <c r="K22" s="57" t="str">
        <f aca="false">IF(AND(K$7=$I22,ISNUMBER($I22)),"◆","")</f>
        <v/>
      </c>
      <c r="L22" s="57" t="str">
        <f aca="false">IF(AND(L$7=$I22,ISNUMBER($I22)),"◆","")</f>
        <v/>
      </c>
      <c r="M22" s="57" t="str">
        <f aca="false">IF(AND(M$7=$I22,ISNUMBER($I22)),"◆","")</f>
        <v/>
      </c>
      <c r="N22" s="57" t="str">
        <f aca="false">IF(AND(N$7=$I22,ISNUMBER($I22)),"◆","")</f>
        <v/>
      </c>
      <c r="O22" s="57" t="str">
        <f aca="false">IF(AND(O$7=$I22,ISNUMBER($I22)),"◆","")</f>
        <v/>
      </c>
      <c r="P22" s="57" t="str">
        <f aca="false">IF(AND(P$7=$I22,ISNUMBER($I22)),"◆","")</f>
        <v/>
      </c>
      <c r="Q22" s="57" t="str">
        <f aca="false">IF(AND(Q$7=$I22,ISNUMBER($I22)),"◆","")</f>
        <v/>
      </c>
      <c r="R22" s="57" t="str">
        <f aca="false">IF(AND(R$7=$I22,ISNUMBER($I22)),"◆","")</f>
        <v/>
      </c>
      <c r="S22" s="57" t="str">
        <f aca="false">IF(AND(S$7=$I22,ISNUMBER($I22)),"◆","")</f>
        <v/>
      </c>
      <c r="T22" s="57" t="str">
        <f aca="false">IF(AND(T$7=$I22,ISNUMBER($I22)),"◆","")</f>
        <v/>
      </c>
      <c r="U22" s="57" t="str">
        <f aca="false">IF(AND(U$7=$I22,ISNUMBER($I22)),"◆","")</f>
        <v/>
      </c>
      <c r="V22" s="57" t="str">
        <f aca="false">IF(AND(V$7=$I22,ISNUMBER($I22)),"◆","")</f>
        <v/>
      </c>
      <c r="W22" s="57" t="str">
        <f aca="false">IF(AND(W$7=$I22,ISNUMBER($I22)),"◆","")</f>
        <v/>
      </c>
      <c r="X22" s="57" t="str">
        <f aca="false">IF(AND(X$7=$I22,ISNUMBER($I22)),"◆","")</f>
        <v/>
      </c>
      <c r="Y22" s="57" t="str">
        <f aca="false">IF(AND(Y$7=$I22,ISNUMBER($I22)),"◆","")</f>
        <v/>
      </c>
      <c r="Z22" s="57" t="str">
        <f aca="false">IF(AND(Z$7=$I22,ISNUMBER($I22)),"◆","")</f>
        <v/>
      </c>
      <c r="AA22" s="57" t="str">
        <f aca="false">IF(AND(AA$7=$I22,ISNUMBER($I22)),"◆","")</f>
        <v/>
      </c>
      <c r="AB22" s="57" t="str">
        <f aca="false">IF(AND(AB$7=$I22,ISNUMBER($I22)),"◆","")</f>
        <v/>
      </c>
      <c r="AC22" s="57" t="str">
        <f aca="false">IF(AND(AC$7=$I22,ISNUMBER($I22)),"◆","")</f>
        <v/>
      </c>
      <c r="AD22" s="57" t="str">
        <f aca="false">IF(AND(AD$7=$I22,ISNUMBER($I22)),"◆","")</f>
        <v/>
      </c>
      <c r="AE22" s="57" t="str">
        <f aca="false">IF(AND(AE$7=$I22,ISNUMBER($I22)),"◆","")</f>
        <v/>
      </c>
      <c r="AF22" s="57" t="str">
        <f aca="false">IF(AND(AF$7=$I22,ISNUMBER($I22)),"◆","")</f>
        <v/>
      </c>
      <c r="AG22" s="57" t="str">
        <f aca="false">IF(AND(AG$7=$I22,ISNUMBER($I22)),"◆","")</f>
        <v/>
      </c>
      <c r="AH22" s="57" t="str">
        <f aca="false">IF(AND(AH$7=$I22,ISNUMBER($I22)),"◆","")</f>
        <v/>
      </c>
      <c r="AI22" s="57" t="str">
        <f aca="false">IF(AND(AI$7=$I22,ISNUMBER($I22)),"◆","")</f>
        <v/>
      </c>
      <c r="AJ22" s="57" t="str">
        <f aca="false">IF(AND(AJ$7=$I22,ISNUMBER($I22)),"◆","")</f>
        <v/>
      </c>
      <c r="AK22" s="57" t="str">
        <f aca="false">IF(AND(AK$7=$I22,ISNUMBER($I22)),"◆","")</f>
        <v/>
      </c>
      <c r="AL22" s="57" t="str">
        <f aca="false">IF(AND(AL$7=$I22,ISNUMBER($I22)),"◆","")</f>
        <v/>
      </c>
      <c r="AM22" s="57" t="str">
        <f aca="false">IF(AND(AM$7=$I22,ISNUMBER($I22)),"◆","")</f>
        <v/>
      </c>
      <c r="AN22" s="57" t="str">
        <f aca="false">IF(AND(AN$7=$I22,ISNUMBER($I22)),"◆","")</f>
        <v/>
      </c>
      <c r="AO22" s="57" t="str">
        <f aca="false">IF(AND(AO$7=$I22,ISNUMBER($I22)),"◆","")</f>
        <v/>
      </c>
      <c r="AP22" s="57" t="str">
        <f aca="false">IF(AND(AP$7=$I22,ISNUMBER($I22)),"◆","")</f>
        <v/>
      </c>
      <c r="AQ22" s="57" t="str">
        <f aca="false">IF(AND(AQ$7=$I22,ISNUMBER($I22)),"◆","")</f>
        <v/>
      </c>
      <c r="AR22" s="57" t="str">
        <f aca="false">IF(AND(AR$7=$I22,ISNUMBER($I22)),"◆","")</f>
        <v/>
      </c>
      <c r="AS22" s="57" t="str">
        <f aca="false">IF(AND(AS$7=$I22,ISNUMBER($I22)),"◆","")</f>
        <v/>
      </c>
      <c r="AT22" s="57" t="str">
        <f aca="false">IF(AND(AT$7=$I22,ISNUMBER($I22)),"◆","")</f>
        <v/>
      </c>
      <c r="AU22" s="57" t="str">
        <f aca="false">IF(AND(AU$7=$I22,ISNUMBER($I22)),"◆","")</f>
        <v/>
      </c>
      <c r="AV22" s="57" t="str">
        <f aca="false">IF(AND(AV$7=$I22,ISNUMBER($I22)),"◆","")</f>
        <v/>
      </c>
      <c r="AW22" s="57" t="str">
        <f aca="false">IF(AND(AW$7=$I22,ISNUMBER($I22)),"◆","")</f>
        <v/>
      </c>
      <c r="AX22" s="57" t="str">
        <f aca="false">IF(AND(AX$7=$I22,ISNUMBER($I22)),"◆","")</f>
        <v/>
      </c>
      <c r="AY22" s="57" t="str">
        <f aca="false">IF(AND(AY$7=$I22,ISNUMBER($I22)),"◆","")</f>
        <v/>
      </c>
      <c r="AZ22" s="57" t="str">
        <f aca="false">IF(AND(AZ$7=$I22,ISNUMBER($I22)),"◆","")</f>
        <v/>
      </c>
      <c r="BA22" s="57" t="str">
        <f aca="false">IF(AND(BA$7=$I22,ISNUMBER($I22)),"◆","")</f>
        <v/>
      </c>
      <c r="BB22" s="57" t="str">
        <f aca="false">IF(AND(BB$7=$I22,ISNUMBER($I22)),"◆","")</f>
        <v/>
      </c>
      <c r="BC22" s="57" t="str">
        <f aca="false">IF(AND(BC$7=$I22,ISNUMBER($I22)),"◆","")</f>
        <v/>
      </c>
      <c r="BD22" s="57" t="str">
        <f aca="false">IF(AND(BD$7=$I22,ISNUMBER($I22)),"◆","")</f>
        <v/>
      </c>
      <c r="BE22" s="57" t="str">
        <f aca="false">IF(AND(BE$7=$I22,ISNUMBER($I22)),"◆","")</f>
        <v/>
      </c>
      <c r="BF22" s="57" t="str">
        <f aca="false">IF(AND(BF$7=$I22,ISNUMBER($I22)),"◆","")</f>
        <v/>
      </c>
      <c r="BG22" s="57" t="str">
        <f aca="false">IF(AND(BG$7=$I22,ISNUMBER($I22)),"◆","")</f>
        <v/>
      </c>
      <c r="BH22" s="57" t="str">
        <f aca="false">IF(AND(BH$7=$I22,ISNUMBER($I22)),"◆","")</f>
        <v/>
      </c>
      <c r="BI22" s="57" t="str">
        <f aca="false">IF(AND(BI$7=$I22,ISNUMBER($I22)),"◆","")</f>
        <v/>
      </c>
      <c r="BJ22" s="57" t="str">
        <f aca="false">IF(AND(BJ$7=$I22,ISNUMBER($I22)),"◆","")</f>
        <v/>
      </c>
      <c r="BK22" s="57" t="str">
        <f aca="false">IF(AND(BK$7=$I22,ISNUMBER($I22)),"◆","")</f>
        <v/>
      </c>
      <c r="BL22" s="57" t="str">
        <f aca="false">IF(AND(BL$7=$I22,ISNUMBER($I22)),"◆","")</f>
        <v/>
      </c>
      <c r="BM22" s="57" t="str">
        <f aca="false">IF(AND(BM$7=$I22,ISNUMBER($I22)),"◆","")</f>
        <v/>
      </c>
      <c r="BN22" s="57" t="str">
        <f aca="false">IF(AND(BN$7=$I22,ISNUMBER($I22)),"◆","")</f>
        <v/>
      </c>
      <c r="BO22" s="57" t="str">
        <f aca="false">IF(AND(BO$7=$I22,ISNUMBER($I22)),"◆","")</f>
        <v/>
      </c>
      <c r="BP22" s="57" t="str">
        <f aca="false">IF(AND(BP$7=$I22,ISNUMBER($I22)),"◆","")</f>
        <v/>
      </c>
      <c r="BQ22" s="57" t="str">
        <f aca="false">IF(AND(BQ$7=$I22,ISNUMBER($I22)),"◆","")</f>
        <v/>
      </c>
      <c r="BR22" s="57" t="str">
        <f aca="false">IF(AND(BR$7=$I22,ISNUMBER($I22)),"◆","")</f>
        <v/>
      </c>
      <c r="BS22" s="57" t="str">
        <f aca="false">IF(AND(BS$7=$I22,ISNUMBER($I22)),"◆","")</f>
        <v/>
      </c>
      <c r="BT22" s="57" t="str">
        <f aca="false">IF(AND(BT$7=$I22,ISNUMBER($I22)),"◆","")</f>
        <v/>
      </c>
      <c r="BU22" s="57" t="str">
        <f aca="false">IF(AND(BU$7=$I22,ISNUMBER($I22)),"◆","")</f>
        <v/>
      </c>
      <c r="BV22" s="57" t="str">
        <f aca="false">IF(AND(BV$7=$I22,ISNUMBER($I22)),"◆","")</f>
        <v/>
      </c>
      <c r="BW22" s="57" t="str">
        <f aca="false">IF(AND(BW$7=$I22,ISNUMBER($I22)),"◆","")</f>
        <v/>
      </c>
      <c r="BX22" s="57" t="str">
        <f aca="false">IF(AND(BX$7=$I22,ISNUMBER($I22)),"◆","")</f>
        <v/>
      </c>
      <c r="BY22" s="57" t="str">
        <f aca="false">IF(AND(BY$7=$I22,ISNUMBER($I22)),"◆","")</f>
        <v/>
      </c>
      <c r="BZ22" s="57" t="str">
        <f aca="false">IF(AND(BZ$7=$I22,ISNUMBER($I22)),"◆","")</f>
        <v/>
      </c>
      <c r="CA22" s="57" t="str">
        <f aca="false">IF(AND(CA$7=$I22,ISNUMBER($I22)),"◆","")</f>
        <v/>
      </c>
      <c r="CB22" s="57" t="str">
        <f aca="false">IF(AND(CB$7=$I22,ISNUMBER($I22)),"◆","")</f>
        <v/>
      </c>
      <c r="CC22" s="57" t="str">
        <f aca="false">IF(AND(CC$7=$I22,ISNUMBER($I22)),"◆","")</f>
        <v/>
      </c>
      <c r="CD22" s="57" t="str">
        <f aca="false">IF(AND(CD$7=$I22,ISNUMBER($I22)),"◆","")</f>
        <v/>
      </c>
      <c r="CE22" s="57" t="str">
        <f aca="false">IF(AND(CE$7=$I22,ISNUMBER($I22)),"◆","")</f>
        <v/>
      </c>
      <c r="CF22" s="57" t="str">
        <f aca="false">IF(AND(CF$7=$I22,ISNUMBER($I22)),"◆","")</f>
        <v/>
      </c>
      <c r="CG22" s="57" t="str">
        <f aca="false">IF(AND(CG$7=$I22,ISNUMBER($I22)),"◆","")</f>
        <v/>
      </c>
      <c r="CH22" s="57" t="str">
        <f aca="false">IF(AND(CH$7=$I22,ISNUMBER($I22)),"◆","")</f>
        <v/>
      </c>
      <c r="CI22" s="57" t="str">
        <f aca="false">IF(AND(CI$7=$I22,ISNUMBER($I22)),"◆","")</f>
        <v/>
      </c>
      <c r="CJ22" s="57" t="str">
        <f aca="false">IF(AND(CJ$7=$I22,ISNUMBER($I22)),"◆","")</f>
        <v/>
      </c>
      <c r="CK22" s="57" t="str">
        <f aca="false">IF(AND(CK$7=$I22,ISNUMBER($I22)),"◆","")</f>
        <v/>
      </c>
      <c r="CL22" s="57" t="str">
        <f aca="false">IF(AND(CL$7=$I22,ISNUMBER($I22)),"◆","")</f>
        <v/>
      </c>
      <c r="CM22" s="57" t="str">
        <f aca="false">IF(AND(CM$7=$I22,ISNUMBER($I22)),"◆","")</f>
        <v/>
      </c>
      <c r="CN22" s="57" t="str">
        <f aca="false">IF(AND(CN$7=$I22,ISNUMBER($I22)),"◆","")</f>
        <v/>
      </c>
      <c r="CO22" s="57" t="str">
        <f aca="false">IF(AND(CO$7=$I22,ISNUMBER($I22)),"◆","")</f>
        <v/>
      </c>
      <c r="CP22" s="57" t="str">
        <f aca="false">IF(AND(CP$7=$I22,ISNUMBER($I22)),"◆","")</f>
        <v/>
      </c>
      <c r="CQ22" s="57" t="str">
        <f aca="false">IF(AND(CQ$7=$I22,ISNUMBER($I22)),"◆","")</f>
        <v/>
      </c>
      <c r="CR22" s="57" t="str">
        <f aca="false">IF(AND(CR$7=$I22,ISNUMBER($I22)),"◆","")</f>
        <v/>
      </c>
      <c r="CS22" s="57" t="str">
        <f aca="false">IF(AND(CS$7=$I22,ISNUMBER($I22)),"◆","")</f>
        <v/>
      </c>
      <c r="CT22" s="57" t="str">
        <f aca="false">IF(AND(CT$7=$I22,ISNUMBER($I22)),"◆","")</f>
        <v/>
      </c>
      <c r="CU22" s="57" t="str">
        <f aca="false">IF(AND(CU$7=$I22,ISNUMBER($I22)),"◆","")</f>
        <v/>
      </c>
      <c r="CV22" s="57" t="str">
        <f aca="false">IF(AND(CV$7=$I22,ISNUMBER($I22)),"◆","")</f>
        <v/>
      </c>
      <c r="CW22" s="57" t="str">
        <f aca="false">IF(AND(CW$7=$I22,ISNUMBER($I22)),"◆","")</f>
        <v/>
      </c>
      <c r="CX22" s="57" t="str">
        <f aca="false">IF(AND(CX$7=$I22,ISNUMBER($I22)),"◆","")</f>
        <v/>
      </c>
      <c r="CY22" s="57" t="str">
        <f aca="false">IF(AND(CY$7=$I22,ISNUMBER($I22)),"◆","")</f>
        <v/>
      </c>
      <c r="CZ22" s="57" t="str">
        <f aca="false">IF(AND(CZ$7=$I22,ISNUMBER($I22)),"◆","")</f>
        <v/>
      </c>
      <c r="DA22" s="57" t="str">
        <f aca="false">IF(AND(DA$7=$I22,ISNUMBER($I22)),"◆","")</f>
        <v/>
      </c>
      <c r="DB22" s="57" t="str">
        <f aca="false">IF(AND(DB$7=$I22,ISNUMBER($I22)),"◆","")</f>
        <v/>
      </c>
      <c r="DC22" s="57" t="str">
        <f aca="false">IF(AND(DC$7=$I22,ISNUMBER($I22)),"◆","")</f>
        <v/>
      </c>
      <c r="DD22" s="57" t="str">
        <f aca="false">IF(AND(DD$7=$I22,ISNUMBER($I22)),"◆","")</f>
        <v/>
      </c>
      <c r="DE22" s="57" t="str">
        <f aca="false">IF(AND(DE$7=$I22,ISNUMBER($I22)),"◆","")</f>
        <v/>
      </c>
      <c r="DF22" s="57" t="str">
        <f aca="false">IF(AND(DF$7=$I22,ISNUMBER($I22)),"◆","")</f>
        <v/>
      </c>
      <c r="DG22" s="57" t="str">
        <f aca="false">IF(AND(DG$7=$I22,ISNUMBER($I22)),"◆","")</f>
        <v/>
      </c>
      <c r="DH22" s="57" t="str">
        <f aca="false">IF(AND(DH$7=$I22,ISNUMBER($I22)),"◆","")</f>
        <v/>
      </c>
      <c r="DI22" s="57" t="str">
        <f aca="false">IF(AND(DI$7=$I22,ISNUMBER($I22)),"◆","")</f>
        <v/>
      </c>
      <c r="DJ22" s="57" t="str">
        <f aca="false">IF(AND(DJ$7=$I22,ISNUMBER($I22)),"◆","")</f>
        <v/>
      </c>
      <c r="DK22" s="57" t="str">
        <f aca="false">IF(AND(DK$7=$I22,ISNUMBER($I22)),"◆","")</f>
        <v/>
      </c>
      <c r="DL22" s="57" t="str">
        <f aca="false">IF(AND(DL$7=$I22,ISNUMBER($I22)),"◆","")</f>
        <v/>
      </c>
      <c r="DM22" s="57" t="str">
        <f aca="false">IF(AND(DM$7=$I22,ISNUMBER($I22)),"◆","")</f>
        <v/>
      </c>
      <c r="DN22" s="57" t="str">
        <f aca="false">IF(AND(DN$7=$I22,ISNUMBER($I22)),"◆","")</f>
        <v/>
      </c>
      <c r="DO22" s="57" t="str">
        <f aca="false">IF(AND(DO$7=$I22,ISNUMBER($I22)),"◆","")</f>
        <v/>
      </c>
      <c r="DP22" s="57" t="str">
        <f aca="false">IF(AND(DP$7=$I22,ISNUMBER($I22)),"◆","")</f>
        <v/>
      </c>
      <c r="DQ22" s="57" t="str">
        <f aca="false">IF(AND(DQ$7=$I22,ISNUMBER($I22)),"◆","")</f>
        <v/>
      </c>
      <c r="DR22" s="57" t="str">
        <f aca="false">IF(AND(DR$7=$I22,ISNUMBER($I22)),"◆","")</f>
        <v/>
      </c>
      <c r="DS22" s="57" t="str">
        <f aca="false">IF(AND(DS$7=$I22,ISNUMBER($I22)),"◆","")</f>
        <v/>
      </c>
      <c r="DT22" s="57" t="str">
        <f aca="false">IF(AND(DT$7=$I22,ISNUMBER($I22)),"◆","")</f>
        <v/>
      </c>
      <c r="DU22" s="57" t="str">
        <f aca="false">IF(AND(DU$7=$I22,ISNUMBER($I22)),"◆","")</f>
        <v/>
      </c>
      <c r="DV22" s="57" t="str">
        <f aca="false">IF(AND(DV$7=$I22,ISNUMBER($I22)),"◆","")</f>
        <v/>
      </c>
      <c r="DW22" s="57" t="str">
        <f aca="false">IF(AND(DW$7=$I22,ISNUMBER($I22)),"◆","")</f>
        <v/>
      </c>
      <c r="DX22" s="57" t="str">
        <f aca="false">IF(AND(DX$7=$I22,ISNUMBER($I22)),"◆","")</f>
        <v/>
      </c>
      <c r="DY22" s="57" t="str">
        <f aca="false">IF(AND(DY$7=$I22,ISNUMBER($I22)),"◆","")</f>
        <v/>
      </c>
      <c r="DZ22" s="57" t="str">
        <f aca="false">IF(AND(DZ$7=$I22,ISNUMBER($I22)),"◆","")</f>
        <v/>
      </c>
      <c r="EA22" s="57" t="str">
        <f aca="false">IF(AND(EA$7=$I22,ISNUMBER($I22)),"◆","")</f>
        <v/>
      </c>
      <c r="EB22" s="57" t="str">
        <f aca="false">IF(AND(EB$7=$I22,ISNUMBER($I22)),"◆","")</f>
        <v/>
      </c>
      <c r="EC22" s="57" t="str">
        <f aca="false">IF(AND(EC$7=$I22,ISNUMBER($I22)),"◆","")</f>
        <v/>
      </c>
      <c r="ED22" s="57" t="str">
        <f aca="false">IF(AND(ED$7=$I22,ISNUMBER($I22)),"◆","")</f>
        <v/>
      </c>
      <c r="EE22" s="57" t="str">
        <f aca="false">IF(AND(EE$7=$I22,ISNUMBER($I22)),"◆","")</f>
        <v/>
      </c>
      <c r="EF22" s="57" t="str">
        <f aca="false">IF(AND(EF$7=$I22,ISNUMBER($I22)),"◆","")</f>
        <v/>
      </c>
      <c r="EG22" s="57" t="str">
        <f aca="false">IF(AND(EG$7=$I22,ISNUMBER($I22)),"◆","")</f>
        <v/>
      </c>
      <c r="EH22" s="57" t="str">
        <f aca="false">IF(AND(EH$7=$I22,ISNUMBER($I22)),"◆","")</f>
        <v/>
      </c>
      <c r="EI22" s="57" t="str">
        <f aca="false">IF(AND(EI$7=$I22,ISNUMBER($I22)),"◆","")</f>
        <v/>
      </c>
      <c r="EJ22" s="57" t="str">
        <f aca="false">IF(AND(EJ$7=$I22,ISNUMBER($I22)),"◆","")</f>
        <v/>
      </c>
      <c r="EK22" s="57" t="str">
        <f aca="false">IF(AND(EK$7=$I22,ISNUMBER($I22)),"◆","")</f>
        <v/>
      </c>
      <c r="EL22" s="57" t="str">
        <f aca="false">IF(AND(EL$7=$I22,ISNUMBER($I22)),"◆","")</f>
        <v/>
      </c>
      <c r="EM22" s="57" t="str">
        <f aca="false">IF(AND(EM$7=$I22,ISNUMBER($I22)),"◆","")</f>
        <v/>
      </c>
      <c r="EN22" s="57" t="str">
        <f aca="false">IF(AND(EN$7=$I22,ISNUMBER($I22)),"◆","")</f>
        <v/>
      </c>
      <c r="EO22" s="57" t="str">
        <f aca="false">IF(AND(EO$7=$I22,ISNUMBER($I22)),"◆","")</f>
        <v/>
      </c>
      <c r="EP22" s="57" t="str">
        <f aca="false">IF(AND(EP$7=$I22,ISNUMBER($I22)),"◆","")</f>
        <v/>
      </c>
      <c r="EQ22" s="57" t="str">
        <f aca="false">IF(AND(EQ$7=$I22,ISNUMBER($I22)),"◆","")</f>
        <v/>
      </c>
      <c r="ER22" s="57" t="str">
        <f aca="false">IF(AND(ER$7=$I22,ISNUMBER($I22)),"◆","")</f>
        <v/>
      </c>
      <c r="ES22" s="57" t="str">
        <f aca="false">IF(AND(ES$7=$I22,ISNUMBER($I22)),"◆","")</f>
        <v/>
      </c>
      <c r="ET22" s="57" t="str">
        <f aca="false">IF(AND(ET$7=$I22,ISNUMBER($I22)),"◆","")</f>
        <v/>
      </c>
      <c r="EU22" s="57" t="str">
        <f aca="false">IF(AND(EU$7=$I22,ISNUMBER($I22)),"◆","")</f>
        <v/>
      </c>
      <c r="EV22" s="57" t="str">
        <f aca="false">IF(AND(EV$7=$I22,ISNUMBER($I22)),"◆","")</f>
        <v/>
      </c>
      <c r="EW22" s="57" t="str">
        <f aca="false">IF(AND(EW$7=$I22,ISNUMBER($I22)),"◆","")</f>
        <v/>
      </c>
      <c r="EX22" s="57" t="str">
        <f aca="false">IF(AND(EX$7=$I22,ISNUMBER($I22)),"◆","")</f>
        <v/>
      </c>
      <c r="EY22" s="57" t="str">
        <f aca="false">IF(AND(EY$7=$I22,ISNUMBER($I22)),"◆","")</f>
        <v/>
      </c>
      <c r="EZ22" s="57" t="str">
        <f aca="false">IF(AND(EZ$7=$I22,ISNUMBER($I22)),"◆","")</f>
        <v/>
      </c>
      <c r="FA22" s="57" t="str">
        <f aca="false">IF(AND(FA$7=$I22,ISNUMBER($I22)),"◆","")</f>
        <v/>
      </c>
      <c r="FB22" s="57" t="str">
        <f aca="false">IF(AND(FB$7=$I22,ISNUMBER($I22)),"◆","")</f>
        <v/>
      </c>
      <c r="FC22" s="57" t="str">
        <f aca="false">IF(AND(FC$7=$I22,ISNUMBER($I22)),"◆","")</f>
        <v/>
      </c>
      <c r="FD22" s="57" t="str">
        <f aca="false">IF(AND(FD$7=$I22,ISNUMBER($I22)),"◆","")</f>
        <v/>
      </c>
      <c r="FE22" s="57" t="str">
        <f aca="false">IF(AND(FE$7=$I22,ISNUMBER($I22)),"◆","")</f>
        <v/>
      </c>
      <c r="FF22" s="57" t="str">
        <f aca="false">IF(AND(FF$7=$I22,ISNUMBER($I22)),"◆","")</f>
        <v/>
      </c>
      <c r="FG22" s="57" t="str">
        <f aca="false">IF(AND(FG$7=$I22,ISNUMBER($I22)),"◆","")</f>
        <v/>
      </c>
      <c r="FH22" s="57" t="str">
        <f aca="false">IF(AND(FH$7=$I22,ISNUMBER($I22)),"◆","")</f>
        <v/>
      </c>
      <c r="FI22" s="57" t="str">
        <f aca="false">IF(AND(FI$7=$I22,ISNUMBER($I22)),"◆","")</f>
        <v/>
      </c>
      <c r="FJ22" s="57" t="str">
        <f aca="false">IF(AND(FJ$7=$I22,ISNUMBER($I22)),"◆","")</f>
        <v/>
      </c>
      <c r="FK22" s="57" t="str">
        <f aca="false">IF(AND(FK$7=$I22,ISNUMBER($I22)),"◆","")</f>
        <v/>
      </c>
      <c r="FL22" s="57" t="str">
        <f aca="false">IF(AND(FL$7=$I22,ISNUMBER($I22)),"◆","")</f>
        <v/>
      </c>
      <c r="FM22" s="57" t="str">
        <f aca="false">IF(AND(FM$7=$I22,ISNUMBER($I22)),"◆","")</f>
        <v/>
      </c>
      <c r="FN22" s="57" t="str">
        <f aca="false">IF(AND(FN$7=$I22,ISNUMBER($I22)),"◆","")</f>
        <v/>
      </c>
      <c r="FO22" s="57" t="str">
        <f aca="false">IF(AND(FO$7=$I22,ISNUMBER($I22)),"◆","")</f>
        <v/>
      </c>
      <c r="FP22" s="57" t="str">
        <f aca="false">IF(AND(FP$7=$I22,ISNUMBER($I22)),"◆","")</f>
        <v/>
      </c>
      <c r="FQ22" s="57" t="str">
        <f aca="false">IF(AND(FQ$7=$I22,ISNUMBER($I22)),"◆","")</f>
        <v/>
      </c>
      <c r="FR22" s="57" t="str">
        <f aca="false">IF(AND(FR$7=$I22,ISNUMBER($I22)),"◆","")</f>
        <v/>
      </c>
      <c r="FS22" s="57" t="str">
        <f aca="false">IF(AND(FS$7=$I22,ISNUMBER($I22)),"◆","")</f>
        <v/>
      </c>
      <c r="FT22" s="57" t="str">
        <f aca="false">IF(AND(FT$7=$I22,ISNUMBER($I22)),"◆","")</f>
        <v/>
      </c>
      <c r="FU22" s="57" t="str">
        <f aca="false">IF(AND(FU$7=$I22,ISNUMBER($I22)),"◆","")</f>
        <v/>
      </c>
      <c r="FV22" s="57" t="str">
        <f aca="false">IF(AND(FV$7=$I22,ISNUMBER($I22)),"◆","")</f>
        <v/>
      </c>
    </row>
    <row r="23" customFormat="false" ht="25.5" hidden="false" customHeight="true" outlineLevel="0" collapsed="false">
      <c r="A23" s="50" t="str">
        <f aca="false">制作工程表!A19</f>
        <v>T11</v>
      </c>
      <c r="B23" s="51" t="str">
        <f aca="false">制作工程表!B19</f>
        <v>取材撮影</v>
      </c>
      <c r="C23" s="52" t="str">
        <f aca="false">制作工程表!C19</f>
        <v>本社・素材室の取材・撮影（物撮り）</v>
      </c>
      <c r="D23" s="53" t="str">
        <f aca="false">制作工程表!D19</f>
        <v>ライター・カメラマン</v>
      </c>
      <c r="E23" s="53" t="str">
        <f aca="false">制作工程表!E19</f>
        <v>広報窓口</v>
      </c>
      <c r="F23" s="54" t="str">
        <f aca="false">IF(制作工程表!B19="取材撮影","撮影",IF(OR(制作工程表!D19="広報窓口",制作工程表!D19="代表",制作工程表!D19="技術営業課",制作工程表!D19="品質管理課",制作工程表!D19="製造部"),"企業","制作"))</f>
        <v>撮影</v>
      </c>
      <c r="G23" s="55" t="n">
        <f aca="false">制作工程表!G19</f>
        <v>46394</v>
      </c>
      <c r="H23" s="55" t="n">
        <f aca="false">制作工程表!H19</f>
        <v>46394</v>
      </c>
      <c r="I23" s="56" t="str">
        <f aca="false">制作工程表!I19</f>
        <v>—</v>
      </c>
      <c r="J23" s="51" t="str">
        <f aca="false">制作工程表!K19</f>
        <v>未着手</v>
      </c>
      <c r="K23" s="57" t="str">
        <f aca="false">IF(AND(K$7=$I23,ISNUMBER($I23)),"◆","")</f>
        <v/>
      </c>
      <c r="L23" s="57" t="str">
        <f aca="false">IF(AND(L$7=$I23,ISNUMBER($I23)),"◆","")</f>
        <v/>
      </c>
      <c r="M23" s="57" t="str">
        <f aca="false">IF(AND(M$7=$I23,ISNUMBER($I23)),"◆","")</f>
        <v/>
      </c>
      <c r="N23" s="57" t="str">
        <f aca="false">IF(AND(N$7=$I23,ISNUMBER($I23)),"◆","")</f>
        <v/>
      </c>
      <c r="O23" s="57" t="str">
        <f aca="false">IF(AND(O$7=$I23,ISNUMBER($I23)),"◆","")</f>
        <v/>
      </c>
      <c r="P23" s="57" t="str">
        <f aca="false">IF(AND(P$7=$I23,ISNUMBER($I23)),"◆","")</f>
        <v/>
      </c>
      <c r="Q23" s="57" t="str">
        <f aca="false">IF(AND(Q$7=$I23,ISNUMBER($I23)),"◆","")</f>
        <v/>
      </c>
      <c r="R23" s="57" t="str">
        <f aca="false">IF(AND(R$7=$I23,ISNUMBER($I23)),"◆","")</f>
        <v/>
      </c>
      <c r="S23" s="57" t="str">
        <f aca="false">IF(AND(S$7=$I23,ISNUMBER($I23)),"◆","")</f>
        <v/>
      </c>
      <c r="T23" s="57" t="str">
        <f aca="false">IF(AND(T$7=$I23,ISNUMBER($I23)),"◆","")</f>
        <v/>
      </c>
      <c r="U23" s="57" t="str">
        <f aca="false">IF(AND(U$7=$I23,ISNUMBER($I23)),"◆","")</f>
        <v/>
      </c>
      <c r="V23" s="57" t="str">
        <f aca="false">IF(AND(V$7=$I23,ISNUMBER($I23)),"◆","")</f>
        <v/>
      </c>
      <c r="W23" s="57" t="str">
        <f aca="false">IF(AND(W$7=$I23,ISNUMBER($I23)),"◆","")</f>
        <v/>
      </c>
      <c r="X23" s="57" t="str">
        <f aca="false">IF(AND(X$7=$I23,ISNUMBER($I23)),"◆","")</f>
        <v/>
      </c>
      <c r="Y23" s="57" t="str">
        <f aca="false">IF(AND(Y$7=$I23,ISNUMBER($I23)),"◆","")</f>
        <v/>
      </c>
      <c r="Z23" s="57" t="str">
        <f aca="false">IF(AND(Z$7=$I23,ISNUMBER($I23)),"◆","")</f>
        <v/>
      </c>
      <c r="AA23" s="57" t="str">
        <f aca="false">IF(AND(AA$7=$I23,ISNUMBER($I23)),"◆","")</f>
        <v/>
      </c>
      <c r="AB23" s="57" t="str">
        <f aca="false">IF(AND(AB$7=$I23,ISNUMBER($I23)),"◆","")</f>
        <v/>
      </c>
      <c r="AC23" s="57" t="str">
        <f aca="false">IF(AND(AC$7=$I23,ISNUMBER($I23)),"◆","")</f>
        <v/>
      </c>
      <c r="AD23" s="57" t="str">
        <f aca="false">IF(AND(AD$7=$I23,ISNUMBER($I23)),"◆","")</f>
        <v/>
      </c>
      <c r="AE23" s="57" t="str">
        <f aca="false">IF(AND(AE$7=$I23,ISNUMBER($I23)),"◆","")</f>
        <v/>
      </c>
      <c r="AF23" s="57" t="str">
        <f aca="false">IF(AND(AF$7=$I23,ISNUMBER($I23)),"◆","")</f>
        <v/>
      </c>
      <c r="AG23" s="57" t="str">
        <f aca="false">IF(AND(AG$7=$I23,ISNUMBER($I23)),"◆","")</f>
        <v/>
      </c>
      <c r="AH23" s="57" t="str">
        <f aca="false">IF(AND(AH$7=$I23,ISNUMBER($I23)),"◆","")</f>
        <v/>
      </c>
      <c r="AI23" s="57" t="str">
        <f aca="false">IF(AND(AI$7=$I23,ISNUMBER($I23)),"◆","")</f>
        <v/>
      </c>
      <c r="AJ23" s="57" t="str">
        <f aca="false">IF(AND(AJ$7=$I23,ISNUMBER($I23)),"◆","")</f>
        <v/>
      </c>
      <c r="AK23" s="57" t="str">
        <f aca="false">IF(AND(AK$7=$I23,ISNUMBER($I23)),"◆","")</f>
        <v/>
      </c>
      <c r="AL23" s="57" t="str">
        <f aca="false">IF(AND(AL$7=$I23,ISNUMBER($I23)),"◆","")</f>
        <v/>
      </c>
      <c r="AM23" s="57" t="str">
        <f aca="false">IF(AND(AM$7=$I23,ISNUMBER($I23)),"◆","")</f>
        <v/>
      </c>
      <c r="AN23" s="57" t="str">
        <f aca="false">IF(AND(AN$7=$I23,ISNUMBER($I23)),"◆","")</f>
        <v/>
      </c>
      <c r="AO23" s="57" t="str">
        <f aca="false">IF(AND(AO$7=$I23,ISNUMBER($I23)),"◆","")</f>
        <v/>
      </c>
      <c r="AP23" s="57" t="str">
        <f aca="false">IF(AND(AP$7=$I23,ISNUMBER($I23)),"◆","")</f>
        <v/>
      </c>
      <c r="AQ23" s="57" t="str">
        <f aca="false">IF(AND(AQ$7=$I23,ISNUMBER($I23)),"◆","")</f>
        <v/>
      </c>
      <c r="AR23" s="57" t="str">
        <f aca="false">IF(AND(AR$7=$I23,ISNUMBER($I23)),"◆","")</f>
        <v/>
      </c>
      <c r="AS23" s="57" t="str">
        <f aca="false">IF(AND(AS$7=$I23,ISNUMBER($I23)),"◆","")</f>
        <v/>
      </c>
      <c r="AT23" s="57" t="str">
        <f aca="false">IF(AND(AT$7=$I23,ISNUMBER($I23)),"◆","")</f>
        <v/>
      </c>
      <c r="AU23" s="57" t="str">
        <f aca="false">IF(AND(AU$7=$I23,ISNUMBER($I23)),"◆","")</f>
        <v/>
      </c>
      <c r="AV23" s="57" t="str">
        <f aca="false">IF(AND(AV$7=$I23,ISNUMBER($I23)),"◆","")</f>
        <v/>
      </c>
      <c r="AW23" s="57" t="str">
        <f aca="false">IF(AND(AW$7=$I23,ISNUMBER($I23)),"◆","")</f>
        <v/>
      </c>
      <c r="AX23" s="57" t="str">
        <f aca="false">IF(AND(AX$7=$I23,ISNUMBER($I23)),"◆","")</f>
        <v/>
      </c>
      <c r="AY23" s="57" t="str">
        <f aca="false">IF(AND(AY$7=$I23,ISNUMBER($I23)),"◆","")</f>
        <v/>
      </c>
      <c r="AZ23" s="57" t="str">
        <f aca="false">IF(AND(AZ$7=$I23,ISNUMBER($I23)),"◆","")</f>
        <v/>
      </c>
      <c r="BA23" s="57" t="str">
        <f aca="false">IF(AND(BA$7=$I23,ISNUMBER($I23)),"◆","")</f>
        <v/>
      </c>
      <c r="BB23" s="57" t="str">
        <f aca="false">IF(AND(BB$7=$I23,ISNUMBER($I23)),"◆","")</f>
        <v/>
      </c>
      <c r="BC23" s="57" t="str">
        <f aca="false">IF(AND(BC$7=$I23,ISNUMBER($I23)),"◆","")</f>
        <v/>
      </c>
      <c r="BD23" s="57" t="str">
        <f aca="false">IF(AND(BD$7=$I23,ISNUMBER($I23)),"◆","")</f>
        <v/>
      </c>
      <c r="BE23" s="57" t="str">
        <f aca="false">IF(AND(BE$7=$I23,ISNUMBER($I23)),"◆","")</f>
        <v/>
      </c>
      <c r="BF23" s="57" t="str">
        <f aca="false">IF(AND(BF$7=$I23,ISNUMBER($I23)),"◆","")</f>
        <v/>
      </c>
      <c r="BG23" s="57" t="str">
        <f aca="false">IF(AND(BG$7=$I23,ISNUMBER($I23)),"◆","")</f>
        <v/>
      </c>
      <c r="BH23" s="57" t="str">
        <f aca="false">IF(AND(BH$7=$I23,ISNUMBER($I23)),"◆","")</f>
        <v/>
      </c>
      <c r="BI23" s="57" t="str">
        <f aca="false">IF(AND(BI$7=$I23,ISNUMBER($I23)),"◆","")</f>
        <v/>
      </c>
      <c r="BJ23" s="57" t="str">
        <f aca="false">IF(AND(BJ$7=$I23,ISNUMBER($I23)),"◆","")</f>
        <v/>
      </c>
      <c r="BK23" s="57" t="str">
        <f aca="false">IF(AND(BK$7=$I23,ISNUMBER($I23)),"◆","")</f>
        <v/>
      </c>
      <c r="BL23" s="57" t="str">
        <f aca="false">IF(AND(BL$7=$I23,ISNUMBER($I23)),"◆","")</f>
        <v/>
      </c>
      <c r="BM23" s="57" t="str">
        <f aca="false">IF(AND(BM$7=$I23,ISNUMBER($I23)),"◆","")</f>
        <v/>
      </c>
      <c r="BN23" s="57" t="str">
        <f aca="false">IF(AND(BN$7=$I23,ISNUMBER($I23)),"◆","")</f>
        <v/>
      </c>
      <c r="BO23" s="57" t="str">
        <f aca="false">IF(AND(BO$7=$I23,ISNUMBER($I23)),"◆","")</f>
        <v/>
      </c>
      <c r="BP23" s="57" t="str">
        <f aca="false">IF(AND(BP$7=$I23,ISNUMBER($I23)),"◆","")</f>
        <v/>
      </c>
      <c r="BQ23" s="57" t="str">
        <f aca="false">IF(AND(BQ$7=$I23,ISNUMBER($I23)),"◆","")</f>
        <v/>
      </c>
      <c r="BR23" s="57" t="str">
        <f aca="false">IF(AND(BR$7=$I23,ISNUMBER($I23)),"◆","")</f>
        <v/>
      </c>
      <c r="BS23" s="57" t="str">
        <f aca="false">IF(AND(BS$7=$I23,ISNUMBER($I23)),"◆","")</f>
        <v/>
      </c>
      <c r="BT23" s="57" t="str">
        <f aca="false">IF(AND(BT$7=$I23,ISNUMBER($I23)),"◆","")</f>
        <v/>
      </c>
      <c r="BU23" s="57" t="str">
        <f aca="false">IF(AND(BU$7=$I23,ISNUMBER($I23)),"◆","")</f>
        <v/>
      </c>
      <c r="BV23" s="57" t="str">
        <f aca="false">IF(AND(BV$7=$I23,ISNUMBER($I23)),"◆","")</f>
        <v/>
      </c>
      <c r="BW23" s="57" t="str">
        <f aca="false">IF(AND(BW$7=$I23,ISNUMBER($I23)),"◆","")</f>
        <v/>
      </c>
      <c r="BX23" s="57" t="str">
        <f aca="false">IF(AND(BX$7=$I23,ISNUMBER($I23)),"◆","")</f>
        <v/>
      </c>
      <c r="BY23" s="57" t="str">
        <f aca="false">IF(AND(BY$7=$I23,ISNUMBER($I23)),"◆","")</f>
        <v/>
      </c>
      <c r="BZ23" s="57" t="str">
        <f aca="false">IF(AND(BZ$7=$I23,ISNUMBER($I23)),"◆","")</f>
        <v/>
      </c>
      <c r="CA23" s="57" t="str">
        <f aca="false">IF(AND(CA$7=$I23,ISNUMBER($I23)),"◆","")</f>
        <v/>
      </c>
      <c r="CB23" s="57" t="str">
        <f aca="false">IF(AND(CB$7=$I23,ISNUMBER($I23)),"◆","")</f>
        <v/>
      </c>
      <c r="CC23" s="57" t="str">
        <f aca="false">IF(AND(CC$7=$I23,ISNUMBER($I23)),"◆","")</f>
        <v/>
      </c>
      <c r="CD23" s="57" t="str">
        <f aca="false">IF(AND(CD$7=$I23,ISNUMBER($I23)),"◆","")</f>
        <v/>
      </c>
      <c r="CE23" s="57" t="str">
        <f aca="false">IF(AND(CE$7=$I23,ISNUMBER($I23)),"◆","")</f>
        <v/>
      </c>
      <c r="CF23" s="57" t="str">
        <f aca="false">IF(AND(CF$7=$I23,ISNUMBER($I23)),"◆","")</f>
        <v/>
      </c>
      <c r="CG23" s="57" t="str">
        <f aca="false">IF(AND(CG$7=$I23,ISNUMBER($I23)),"◆","")</f>
        <v/>
      </c>
      <c r="CH23" s="57" t="str">
        <f aca="false">IF(AND(CH$7=$I23,ISNUMBER($I23)),"◆","")</f>
        <v/>
      </c>
      <c r="CI23" s="57" t="str">
        <f aca="false">IF(AND(CI$7=$I23,ISNUMBER($I23)),"◆","")</f>
        <v/>
      </c>
      <c r="CJ23" s="57" t="str">
        <f aca="false">IF(AND(CJ$7=$I23,ISNUMBER($I23)),"◆","")</f>
        <v/>
      </c>
      <c r="CK23" s="57" t="str">
        <f aca="false">IF(AND(CK$7=$I23,ISNUMBER($I23)),"◆","")</f>
        <v/>
      </c>
      <c r="CL23" s="57" t="str">
        <f aca="false">IF(AND(CL$7=$I23,ISNUMBER($I23)),"◆","")</f>
        <v/>
      </c>
      <c r="CM23" s="57" t="str">
        <f aca="false">IF(AND(CM$7=$I23,ISNUMBER($I23)),"◆","")</f>
        <v/>
      </c>
      <c r="CN23" s="57" t="str">
        <f aca="false">IF(AND(CN$7=$I23,ISNUMBER($I23)),"◆","")</f>
        <v/>
      </c>
      <c r="CO23" s="57" t="str">
        <f aca="false">IF(AND(CO$7=$I23,ISNUMBER($I23)),"◆","")</f>
        <v/>
      </c>
      <c r="CP23" s="57" t="str">
        <f aca="false">IF(AND(CP$7=$I23,ISNUMBER($I23)),"◆","")</f>
        <v/>
      </c>
      <c r="CQ23" s="57" t="str">
        <f aca="false">IF(AND(CQ$7=$I23,ISNUMBER($I23)),"◆","")</f>
        <v/>
      </c>
      <c r="CR23" s="57" t="str">
        <f aca="false">IF(AND(CR$7=$I23,ISNUMBER($I23)),"◆","")</f>
        <v/>
      </c>
      <c r="CS23" s="57" t="str">
        <f aca="false">IF(AND(CS$7=$I23,ISNUMBER($I23)),"◆","")</f>
        <v/>
      </c>
      <c r="CT23" s="57" t="str">
        <f aca="false">IF(AND(CT$7=$I23,ISNUMBER($I23)),"◆","")</f>
        <v/>
      </c>
      <c r="CU23" s="57" t="str">
        <f aca="false">IF(AND(CU$7=$I23,ISNUMBER($I23)),"◆","")</f>
        <v/>
      </c>
      <c r="CV23" s="57" t="str">
        <f aca="false">IF(AND(CV$7=$I23,ISNUMBER($I23)),"◆","")</f>
        <v/>
      </c>
      <c r="CW23" s="57" t="str">
        <f aca="false">IF(AND(CW$7=$I23,ISNUMBER($I23)),"◆","")</f>
        <v/>
      </c>
      <c r="CX23" s="57" t="str">
        <f aca="false">IF(AND(CX$7=$I23,ISNUMBER($I23)),"◆","")</f>
        <v/>
      </c>
      <c r="CY23" s="57" t="str">
        <f aca="false">IF(AND(CY$7=$I23,ISNUMBER($I23)),"◆","")</f>
        <v/>
      </c>
      <c r="CZ23" s="57" t="str">
        <f aca="false">IF(AND(CZ$7=$I23,ISNUMBER($I23)),"◆","")</f>
        <v/>
      </c>
      <c r="DA23" s="57" t="str">
        <f aca="false">IF(AND(DA$7=$I23,ISNUMBER($I23)),"◆","")</f>
        <v/>
      </c>
      <c r="DB23" s="57" t="str">
        <f aca="false">IF(AND(DB$7=$I23,ISNUMBER($I23)),"◆","")</f>
        <v/>
      </c>
      <c r="DC23" s="57" t="str">
        <f aca="false">IF(AND(DC$7=$I23,ISNUMBER($I23)),"◆","")</f>
        <v/>
      </c>
      <c r="DD23" s="57" t="str">
        <f aca="false">IF(AND(DD$7=$I23,ISNUMBER($I23)),"◆","")</f>
        <v/>
      </c>
      <c r="DE23" s="57" t="str">
        <f aca="false">IF(AND(DE$7=$I23,ISNUMBER($I23)),"◆","")</f>
        <v/>
      </c>
      <c r="DF23" s="57" t="str">
        <f aca="false">IF(AND(DF$7=$I23,ISNUMBER($I23)),"◆","")</f>
        <v/>
      </c>
      <c r="DG23" s="57" t="str">
        <f aca="false">IF(AND(DG$7=$I23,ISNUMBER($I23)),"◆","")</f>
        <v/>
      </c>
      <c r="DH23" s="57" t="str">
        <f aca="false">IF(AND(DH$7=$I23,ISNUMBER($I23)),"◆","")</f>
        <v/>
      </c>
      <c r="DI23" s="57" t="str">
        <f aca="false">IF(AND(DI$7=$I23,ISNUMBER($I23)),"◆","")</f>
        <v/>
      </c>
      <c r="DJ23" s="57" t="str">
        <f aca="false">IF(AND(DJ$7=$I23,ISNUMBER($I23)),"◆","")</f>
        <v/>
      </c>
      <c r="DK23" s="57" t="str">
        <f aca="false">IF(AND(DK$7=$I23,ISNUMBER($I23)),"◆","")</f>
        <v/>
      </c>
      <c r="DL23" s="57" t="str">
        <f aca="false">IF(AND(DL$7=$I23,ISNUMBER($I23)),"◆","")</f>
        <v/>
      </c>
      <c r="DM23" s="57" t="str">
        <f aca="false">IF(AND(DM$7=$I23,ISNUMBER($I23)),"◆","")</f>
        <v/>
      </c>
      <c r="DN23" s="57" t="str">
        <f aca="false">IF(AND(DN$7=$I23,ISNUMBER($I23)),"◆","")</f>
        <v/>
      </c>
      <c r="DO23" s="57" t="str">
        <f aca="false">IF(AND(DO$7=$I23,ISNUMBER($I23)),"◆","")</f>
        <v/>
      </c>
      <c r="DP23" s="57" t="str">
        <f aca="false">IF(AND(DP$7=$I23,ISNUMBER($I23)),"◆","")</f>
        <v/>
      </c>
      <c r="DQ23" s="57" t="str">
        <f aca="false">IF(AND(DQ$7=$I23,ISNUMBER($I23)),"◆","")</f>
        <v/>
      </c>
      <c r="DR23" s="57" t="str">
        <f aca="false">IF(AND(DR$7=$I23,ISNUMBER($I23)),"◆","")</f>
        <v/>
      </c>
      <c r="DS23" s="57" t="str">
        <f aca="false">IF(AND(DS$7=$I23,ISNUMBER($I23)),"◆","")</f>
        <v/>
      </c>
      <c r="DT23" s="57" t="str">
        <f aca="false">IF(AND(DT$7=$I23,ISNUMBER($I23)),"◆","")</f>
        <v/>
      </c>
      <c r="DU23" s="57" t="str">
        <f aca="false">IF(AND(DU$7=$I23,ISNUMBER($I23)),"◆","")</f>
        <v/>
      </c>
      <c r="DV23" s="57" t="str">
        <f aca="false">IF(AND(DV$7=$I23,ISNUMBER($I23)),"◆","")</f>
        <v/>
      </c>
      <c r="DW23" s="57" t="str">
        <f aca="false">IF(AND(DW$7=$I23,ISNUMBER($I23)),"◆","")</f>
        <v/>
      </c>
      <c r="DX23" s="57" t="str">
        <f aca="false">IF(AND(DX$7=$I23,ISNUMBER($I23)),"◆","")</f>
        <v/>
      </c>
      <c r="DY23" s="57" t="str">
        <f aca="false">IF(AND(DY$7=$I23,ISNUMBER($I23)),"◆","")</f>
        <v/>
      </c>
      <c r="DZ23" s="57" t="str">
        <f aca="false">IF(AND(DZ$7=$I23,ISNUMBER($I23)),"◆","")</f>
        <v/>
      </c>
      <c r="EA23" s="57" t="str">
        <f aca="false">IF(AND(EA$7=$I23,ISNUMBER($I23)),"◆","")</f>
        <v/>
      </c>
      <c r="EB23" s="57" t="str">
        <f aca="false">IF(AND(EB$7=$I23,ISNUMBER($I23)),"◆","")</f>
        <v/>
      </c>
      <c r="EC23" s="57" t="str">
        <f aca="false">IF(AND(EC$7=$I23,ISNUMBER($I23)),"◆","")</f>
        <v/>
      </c>
      <c r="ED23" s="57" t="str">
        <f aca="false">IF(AND(ED$7=$I23,ISNUMBER($I23)),"◆","")</f>
        <v/>
      </c>
      <c r="EE23" s="57" t="str">
        <f aca="false">IF(AND(EE$7=$I23,ISNUMBER($I23)),"◆","")</f>
        <v/>
      </c>
      <c r="EF23" s="57" t="str">
        <f aca="false">IF(AND(EF$7=$I23,ISNUMBER($I23)),"◆","")</f>
        <v/>
      </c>
      <c r="EG23" s="57" t="str">
        <f aca="false">IF(AND(EG$7=$I23,ISNUMBER($I23)),"◆","")</f>
        <v/>
      </c>
      <c r="EH23" s="57" t="str">
        <f aca="false">IF(AND(EH$7=$I23,ISNUMBER($I23)),"◆","")</f>
        <v/>
      </c>
      <c r="EI23" s="57" t="str">
        <f aca="false">IF(AND(EI$7=$I23,ISNUMBER($I23)),"◆","")</f>
        <v/>
      </c>
      <c r="EJ23" s="57" t="str">
        <f aca="false">IF(AND(EJ$7=$I23,ISNUMBER($I23)),"◆","")</f>
        <v/>
      </c>
      <c r="EK23" s="57" t="str">
        <f aca="false">IF(AND(EK$7=$I23,ISNUMBER($I23)),"◆","")</f>
        <v/>
      </c>
      <c r="EL23" s="57" t="str">
        <f aca="false">IF(AND(EL$7=$I23,ISNUMBER($I23)),"◆","")</f>
        <v/>
      </c>
      <c r="EM23" s="57" t="str">
        <f aca="false">IF(AND(EM$7=$I23,ISNUMBER($I23)),"◆","")</f>
        <v/>
      </c>
      <c r="EN23" s="57" t="str">
        <f aca="false">IF(AND(EN$7=$I23,ISNUMBER($I23)),"◆","")</f>
        <v/>
      </c>
      <c r="EO23" s="57" t="str">
        <f aca="false">IF(AND(EO$7=$I23,ISNUMBER($I23)),"◆","")</f>
        <v/>
      </c>
      <c r="EP23" s="57" t="str">
        <f aca="false">IF(AND(EP$7=$I23,ISNUMBER($I23)),"◆","")</f>
        <v/>
      </c>
      <c r="EQ23" s="57" t="str">
        <f aca="false">IF(AND(EQ$7=$I23,ISNUMBER($I23)),"◆","")</f>
        <v/>
      </c>
      <c r="ER23" s="57" t="str">
        <f aca="false">IF(AND(ER$7=$I23,ISNUMBER($I23)),"◆","")</f>
        <v/>
      </c>
      <c r="ES23" s="57" t="str">
        <f aca="false">IF(AND(ES$7=$I23,ISNUMBER($I23)),"◆","")</f>
        <v/>
      </c>
      <c r="ET23" s="57" t="str">
        <f aca="false">IF(AND(ET$7=$I23,ISNUMBER($I23)),"◆","")</f>
        <v/>
      </c>
      <c r="EU23" s="57" t="str">
        <f aca="false">IF(AND(EU$7=$I23,ISNUMBER($I23)),"◆","")</f>
        <v/>
      </c>
      <c r="EV23" s="57" t="str">
        <f aca="false">IF(AND(EV$7=$I23,ISNUMBER($I23)),"◆","")</f>
        <v/>
      </c>
      <c r="EW23" s="57" t="str">
        <f aca="false">IF(AND(EW$7=$I23,ISNUMBER($I23)),"◆","")</f>
        <v/>
      </c>
      <c r="EX23" s="57" t="str">
        <f aca="false">IF(AND(EX$7=$I23,ISNUMBER($I23)),"◆","")</f>
        <v/>
      </c>
      <c r="EY23" s="57" t="str">
        <f aca="false">IF(AND(EY$7=$I23,ISNUMBER($I23)),"◆","")</f>
        <v/>
      </c>
      <c r="EZ23" s="57" t="str">
        <f aca="false">IF(AND(EZ$7=$I23,ISNUMBER($I23)),"◆","")</f>
        <v/>
      </c>
      <c r="FA23" s="57" t="str">
        <f aca="false">IF(AND(FA$7=$I23,ISNUMBER($I23)),"◆","")</f>
        <v/>
      </c>
      <c r="FB23" s="57" t="str">
        <f aca="false">IF(AND(FB$7=$I23,ISNUMBER($I23)),"◆","")</f>
        <v/>
      </c>
      <c r="FC23" s="57" t="str">
        <f aca="false">IF(AND(FC$7=$I23,ISNUMBER($I23)),"◆","")</f>
        <v/>
      </c>
      <c r="FD23" s="57" t="str">
        <f aca="false">IF(AND(FD$7=$I23,ISNUMBER($I23)),"◆","")</f>
        <v/>
      </c>
      <c r="FE23" s="57" t="str">
        <f aca="false">IF(AND(FE$7=$I23,ISNUMBER($I23)),"◆","")</f>
        <v/>
      </c>
      <c r="FF23" s="57" t="str">
        <f aca="false">IF(AND(FF$7=$I23,ISNUMBER($I23)),"◆","")</f>
        <v/>
      </c>
      <c r="FG23" s="57" t="str">
        <f aca="false">IF(AND(FG$7=$I23,ISNUMBER($I23)),"◆","")</f>
        <v/>
      </c>
      <c r="FH23" s="57" t="str">
        <f aca="false">IF(AND(FH$7=$I23,ISNUMBER($I23)),"◆","")</f>
        <v/>
      </c>
      <c r="FI23" s="57" t="str">
        <f aca="false">IF(AND(FI$7=$I23,ISNUMBER($I23)),"◆","")</f>
        <v/>
      </c>
      <c r="FJ23" s="57" t="str">
        <f aca="false">IF(AND(FJ$7=$I23,ISNUMBER($I23)),"◆","")</f>
        <v/>
      </c>
      <c r="FK23" s="57" t="str">
        <f aca="false">IF(AND(FK$7=$I23,ISNUMBER($I23)),"◆","")</f>
        <v/>
      </c>
      <c r="FL23" s="57" t="str">
        <f aca="false">IF(AND(FL$7=$I23,ISNUMBER($I23)),"◆","")</f>
        <v/>
      </c>
      <c r="FM23" s="57" t="str">
        <f aca="false">IF(AND(FM$7=$I23,ISNUMBER($I23)),"◆","")</f>
        <v/>
      </c>
      <c r="FN23" s="57" t="str">
        <f aca="false">IF(AND(FN$7=$I23,ISNUMBER($I23)),"◆","")</f>
        <v/>
      </c>
      <c r="FO23" s="57" t="str">
        <f aca="false">IF(AND(FO$7=$I23,ISNUMBER($I23)),"◆","")</f>
        <v/>
      </c>
      <c r="FP23" s="57" t="str">
        <f aca="false">IF(AND(FP$7=$I23,ISNUMBER($I23)),"◆","")</f>
        <v/>
      </c>
      <c r="FQ23" s="57" t="str">
        <f aca="false">IF(AND(FQ$7=$I23,ISNUMBER($I23)),"◆","")</f>
        <v/>
      </c>
      <c r="FR23" s="57" t="str">
        <f aca="false">IF(AND(FR$7=$I23,ISNUMBER($I23)),"◆","")</f>
        <v/>
      </c>
      <c r="FS23" s="57" t="str">
        <f aca="false">IF(AND(FS$7=$I23,ISNUMBER($I23)),"◆","")</f>
        <v/>
      </c>
      <c r="FT23" s="57" t="str">
        <f aca="false">IF(AND(FT$7=$I23,ISNUMBER($I23)),"◆","")</f>
        <v/>
      </c>
      <c r="FU23" s="57" t="str">
        <f aca="false">IF(AND(FU$7=$I23,ISNUMBER($I23)),"◆","")</f>
        <v/>
      </c>
      <c r="FV23" s="57" t="str">
        <f aca="false">IF(AND(FV$7=$I23,ISNUMBER($I23)),"◆","")</f>
        <v/>
      </c>
    </row>
    <row r="24" customFormat="false" ht="25.5" hidden="false" customHeight="true" outlineLevel="0" collapsed="false">
      <c r="A24" s="50" t="str">
        <f aca="false">制作工程表!A20</f>
        <v>T12</v>
      </c>
      <c r="B24" s="51" t="str">
        <f aca="false">制作工程表!B20</f>
        <v>取材撮影</v>
      </c>
      <c r="C24" s="52" t="str">
        <f aca="false">制作工程表!C20</f>
        <v>施工先3件の撮影</v>
      </c>
      <c r="D24" s="53" t="str">
        <f aca="false">制作工程表!D20</f>
        <v>カメラマン・編集ディレクター</v>
      </c>
      <c r="E24" s="53" t="str">
        <f aca="false">制作工程表!E20</f>
        <v>技術営業課</v>
      </c>
      <c r="F24" s="54" t="str">
        <f aca="false">IF(制作工程表!B20="取材撮影","撮影",IF(OR(制作工程表!D20="広報窓口",制作工程表!D20="代表",制作工程表!D20="技術営業課",制作工程表!D20="品質管理課",制作工程表!D20="製造部"),"企業","制作"))</f>
        <v>撮影</v>
      </c>
      <c r="G24" s="55" t="n">
        <f aca="false">制作工程表!G20</f>
        <v>46400</v>
      </c>
      <c r="H24" s="55" t="n">
        <f aca="false">制作工程表!H20</f>
        <v>46400</v>
      </c>
      <c r="I24" s="56" t="str">
        <f aca="false">制作工程表!I20</f>
        <v>—</v>
      </c>
      <c r="J24" s="51" t="str">
        <f aca="false">制作工程表!K20</f>
        <v>未着手</v>
      </c>
      <c r="K24" s="57" t="str">
        <f aca="false">IF(AND(K$7=$I24,ISNUMBER($I24)),"◆","")</f>
        <v/>
      </c>
      <c r="L24" s="57" t="str">
        <f aca="false">IF(AND(L$7=$I24,ISNUMBER($I24)),"◆","")</f>
        <v/>
      </c>
      <c r="M24" s="57" t="str">
        <f aca="false">IF(AND(M$7=$I24,ISNUMBER($I24)),"◆","")</f>
        <v/>
      </c>
      <c r="N24" s="57" t="str">
        <f aca="false">IF(AND(N$7=$I24,ISNUMBER($I24)),"◆","")</f>
        <v/>
      </c>
      <c r="O24" s="57" t="str">
        <f aca="false">IF(AND(O$7=$I24,ISNUMBER($I24)),"◆","")</f>
        <v/>
      </c>
      <c r="P24" s="57" t="str">
        <f aca="false">IF(AND(P$7=$I24,ISNUMBER($I24)),"◆","")</f>
        <v/>
      </c>
      <c r="Q24" s="57" t="str">
        <f aca="false">IF(AND(Q$7=$I24,ISNUMBER($I24)),"◆","")</f>
        <v/>
      </c>
      <c r="R24" s="57" t="str">
        <f aca="false">IF(AND(R$7=$I24,ISNUMBER($I24)),"◆","")</f>
        <v/>
      </c>
      <c r="S24" s="57" t="str">
        <f aca="false">IF(AND(S$7=$I24,ISNUMBER($I24)),"◆","")</f>
        <v/>
      </c>
      <c r="T24" s="57" t="str">
        <f aca="false">IF(AND(T$7=$I24,ISNUMBER($I24)),"◆","")</f>
        <v/>
      </c>
      <c r="U24" s="57" t="str">
        <f aca="false">IF(AND(U$7=$I24,ISNUMBER($I24)),"◆","")</f>
        <v/>
      </c>
      <c r="V24" s="57" t="str">
        <f aca="false">IF(AND(V$7=$I24,ISNUMBER($I24)),"◆","")</f>
        <v/>
      </c>
      <c r="W24" s="57" t="str">
        <f aca="false">IF(AND(W$7=$I24,ISNUMBER($I24)),"◆","")</f>
        <v/>
      </c>
      <c r="X24" s="57" t="str">
        <f aca="false">IF(AND(X$7=$I24,ISNUMBER($I24)),"◆","")</f>
        <v/>
      </c>
      <c r="Y24" s="57" t="str">
        <f aca="false">IF(AND(Y$7=$I24,ISNUMBER($I24)),"◆","")</f>
        <v/>
      </c>
      <c r="Z24" s="57" t="str">
        <f aca="false">IF(AND(Z$7=$I24,ISNUMBER($I24)),"◆","")</f>
        <v/>
      </c>
      <c r="AA24" s="57" t="str">
        <f aca="false">IF(AND(AA$7=$I24,ISNUMBER($I24)),"◆","")</f>
        <v/>
      </c>
      <c r="AB24" s="57" t="str">
        <f aca="false">IF(AND(AB$7=$I24,ISNUMBER($I24)),"◆","")</f>
        <v/>
      </c>
      <c r="AC24" s="57" t="str">
        <f aca="false">IF(AND(AC$7=$I24,ISNUMBER($I24)),"◆","")</f>
        <v/>
      </c>
      <c r="AD24" s="57" t="str">
        <f aca="false">IF(AND(AD$7=$I24,ISNUMBER($I24)),"◆","")</f>
        <v/>
      </c>
      <c r="AE24" s="57" t="str">
        <f aca="false">IF(AND(AE$7=$I24,ISNUMBER($I24)),"◆","")</f>
        <v/>
      </c>
      <c r="AF24" s="57" t="str">
        <f aca="false">IF(AND(AF$7=$I24,ISNUMBER($I24)),"◆","")</f>
        <v/>
      </c>
      <c r="AG24" s="57" t="str">
        <f aca="false">IF(AND(AG$7=$I24,ISNUMBER($I24)),"◆","")</f>
        <v/>
      </c>
      <c r="AH24" s="57" t="str">
        <f aca="false">IF(AND(AH$7=$I24,ISNUMBER($I24)),"◆","")</f>
        <v/>
      </c>
      <c r="AI24" s="57" t="str">
        <f aca="false">IF(AND(AI$7=$I24,ISNUMBER($I24)),"◆","")</f>
        <v/>
      </c>
      <c r="AJ24" s="57" t="str">
        <f aca="false">IF(AND(AJ$7=$I24,ISNUMBER($I24)),"◆","")</f>
        <v/>
      </c>
      <c r="AK24" s="57" t="str">
        <f aca="false">IF(AND(AK$7=$I24,ISNUMBER($I24)),"◆","")</f>
        <v/>
      </c>
      <c r="AL24" s="57" t="str">
        <f aca="false">IF(AND(AL$7=$I24,ISNUMBER($I24)),"◆","")</f>
        <v/>
      </c>
      <c r="AM24" s="57" t="str">
        <f aca="false">IF(AND(AM$7=$I24,ISNUMBER($I24)),"◆","")</f>
        <v/>
      </c>
      <c r="AN24" s="57" t="str">
        <f aca="false">IF(AND(AN$7=$I24,ISNUMBER($I24)),"◆","")</f>
        <v/>
      </c>
      <c r="AO24" s="57" t="str">
        <f aca="false">IF(AND(AO$7=$I24,ISNUMBER($I24)),"◆","")</f>
        <v/>
      </c>
      <c r="AP24" s="57" t="str">
        <f aca="false">IF(AND(AP$7=$I24,ISNUMBER($I24)),"◆","")</f>
        <v/>
      </c>
      <c r="AQ24" s="57" t="str">
        <f aca="false">IF(AND(AQ$7=$I24,ISNUMBER($I24)),"◆","")</f>
        <v/>
      </c>
      <c r="AR24" s="57" t="str">
        <f aca="false">IF(AND(AR$7=$I24,ISNUMBER($I24)),"◆","")</f>
        <v/>
      </c>
      <c r="AS24" s="57" t="str">
        <f aca="false">IF(AND(AS$7=$I24,ISNUMBER($I24)),"◆","")</f>
        <v/>
      </c>
      <c r="AT24" s="57" t="str">
        <f aca="false">IF(AND(AT$7=$I24,ISNUMBER($I24)),"◆","")</f>
        <v/>
      </c>
      <c r="AU24" s="57" t="str">
        <f aca="false">IF(AND(AU$7=$I24,ISNUMBER($I24)),"◆","")</f>
        <v/>
      </c>
      <c r="AV24" s="57" t="str">
        <f aca="false">IF(AND(AV$7=$I24,ISNUMBER($I24)),"◆","")</f>
        <v/>
      </c>
      <c r="AW24" s="57" t="str">
        <f aca="false">IF(AND(AW$7=$I24,ISNUMBER($I24)),"◆","")</f>
        <v/>
      </c>
      <c r="AX24" s="57" t="str">
        <f aca="false">IF(AND(AX$7=$I24,ISNUMBER($I24)),"◆","")</f>
        <v/>
      </c>
      <c r="AY24" s="57" t="str">
        <f aca="false">IF(AND(AY$7=$I24,ISNUMBER($I24)),"◆","")</f>
        <v/>
      </c>
      <c r="AZ24" s="57" t="str">
        <f aca="false">IF(AND(AZ$7=$I24,ISNUMBER($I24)),"◆","")</f>
        <v/>
      </c>
      <c r="BA24" s="57" t="str">
        <f aca="false">IF(AND(BA$7=$I24,ISNUMBER($I24)),"◆","")</f>
        <v/>
      </c>
      <c r="BB24" s="57" t="str">
        <f aca="false">IF(AND(BB$7=$I24,ISNUMBER($I24)),"◆","")</f>
        <v/>
      </c>
      <c r="BC24" s="57" t="str">
        <f aca="false">IF(AND(BC$7=$I24,ISNUMBER($I24)),"◆","")</f>
        <v/>
      </c>
      <c r="BD24" s="57" t="str">
        <f aca="false">IF(AND(BD$7=$I24,ISNUMBER($I24)),"◆","")</f>
        <v/>
      </c>
      <c r="BE24" s="57" t="str">
        <f aca="false">IF(AND(BE$7=$I24,ISNUMBER($I24)),"◆","")</f>
        <v/>
      </c>
      <c r="BF24" s="57" t="str">
        <f aca="false">IF(AND(BF$7=$I24,ISNUMBER($I24)),"◆","")</f>
        <v/>
      </c>
      <c r="BG24" s="57" t="str">
        <f aca="false">IF(AND(BG$7=$I24,ISNUMBER($I24)),"◆","")</f>
        <v/>
      </c>
      <c r="BH24" s="57" t="str">
        <f aca="false">IF(AND(BH$7=$I24,ISNUMBER($I24)),"◆","")</f>
        <v/>
      </c>
      <c r="BI24" s="57" t="str">
        <f aca="false">IF(AND(BI$7=$I24,ISNUMBER($I24)),"◆","")</f>
        <v/>
      </c>
      <c r="BJ24" s="57" t="str">
        <f aca="false">IF(AND(BJ$7=$I24,ISNUMBER($I24)),"◆","")</f>
        <v/>
      </c>
      <c r="BK24" s="57" t="str">
        <f aca="false">IF(AND(BK$7=$I24,ISNUMBER($I24)),"◆","")</f>
        <v/>
      </c>
      <c r="BL24" s="57" t="str">
        <f aca="false">IF(AND(BL$7=$I24,ISNUMBER($I24)),"◆","")</f>
        <v/>
      </c>
      <c r="BM24" s="57" t="str">
        <f aca="false">IF(AND(BM$7=$I24,ISNUMBER($I24)),"◆","")</f>
        <v/>
      </c>
      <c r="BN24" s="57" t="str">
        <f aca="false">IF(AND(BN$7=$I24,ISNUMBER($I24)),"◆","")</f>
        <v/>
      </c>
      <c r="BO24" s="57" t="str">
        <f aca="false">IF(AND(BO$7=$I24,ISNUMBER($I24)),"◆","")</f>
        <v/>
      </c>
      <c r="BP24" s="57" t="str">
        <f aca="false">IF(AND(BP$7=$I24,ISNUMBER($I24)),"◆","")</f>
        <v/>
      </c>
      <c r="BQ24" s="57" t="str">
        <f aca="false">IF(AND(BQ$7=$I24,ISNUMBER($I24)),"◆","")</f>
        <v/>
      </c>
      <c r="BR24" s="57" t="str">
        <f aca="false">IF(AND(BR$7=$I24,ISNUMBER($I24)),"◆","")</f>
        <v/>
      </c>
      <c r="BS24" s="57" t="str">
        <f aca="false">IF(AND(BS$7=$I24,ISNUMBER($I24)),"◆","")</f>
        <v/>
      </c>
      <c r="BT24" s="57" t="str">
        <f aca="false">IF(AND(BT$7=$I24,ISNUMBER($I24)),"◆","")</f>
        <v/>
      </c>
      <c r="BU24" s="57" t="str">
        <f aca="false">IF(AND(BU$7=$I24,ISNUMBER($I24)),"◆","")</f>
        <v/>
      </c>
      <c r="BV24" s="57" t="str">
        <f aca="false">IF(AND(BV$7=$I24,ISNUMBER($I24)),"◆","")</f>
        <v/>
      </c>
      <c r="BW24" s="57" t="str">
        <f aca="false">IF(AND(BW$7=$I24,ISNUMBER($I24)),"◆","")</f>
        <v/>
      </c>
      <c r="BX24" s="57" t="str">
        <f aca="false">IF(AND(BX$7=$I24,ISNUMBER($I24)),"◆","")</f>
        <v/>
      </c>
      <c r="BY24" s="57" t="str">
        <f aca="false">IF(AND(BY$7=$I24,ISNUMBER($I24)),"◆","")</f>
        <v/>
      </c>
      <c r="BZ24" s="57" t="str">
        <f aca="false">IF(AND(BZ$7=$I24,ISNUMBER($I24)),"◆","")</f>
        <v/>
      </c>
      <c r="CA24" s="57" t="str">
        <f aca="false">IF(AND(CA$7=$I24,ISNUMBER($I24)),"◆","")</f>
        <v/>
      </c>
      <c r="CB24" s="57" t="str">
        <f aca="false">IF(AND(CB$7=$I24,ISNUMBER($I24)),"◆","")</f>
        <v/>
      </c>
      <c r="CC24" s="57" t="str">
        <f aca="false">IF(AND(CC$7=$I24,ISNUMBER($I24)),"◆","")</f>
        <v/>
      </c>
      <c r="CD24" s="57" t="str">
        <f aca="false">IF(AND(CD$7=$I24,ISNUMBER($I24)),"◆","")</f>
        <v/>
      </c>
      <c r="CE24" s="57" t="str">
        <f aca="false">IF(AND(CE$7=$I24,ISNUMBER($I24)),"◆","")</f>
        <v/>
      </c>
      <c r="CF24" s="57" t="str">
        <f aca="false">IF(AND(CF$7=$I24,ISNUMBER($I24)),"◆","")</f>
        <v/>
      </c>
      <c r="CG24" s="57" t="str">
        <f aca="false">IF(AND(CG$7=$I24,ISNUMBER($I24)),"◆","")</f>
        <v/>
      </c>
      <c r="CH24" s="57" t="str">
        <f aca="false">IF(AND(CH$7=$I24,ISNUMBER($I24)),"◆","")</f>
        <v/>
      </c>
      <c r="CI24" s="57" t="str">
        <f aca="false">IF(AND(CI$7=$I24,ISNUMBER($I24)),"◆","")</f>
        <v/>
      </c>
      <c r="CJ24" s="57" t="str">
        <f aca="false">IF(AND(CJ$7=$I24,ISNUMBER($I24)),"◆","")</f>
        <v/>
      </c>
      <c r="CK24" s="57" t="str">
        <f aca="false">IF(AND(CK$7=$I24,ISNUMBER($I24)),"◆","")</f>
        <v/>
      </c>
      <c r="CL24" s="57" t="str">
        <f aca="false">IF(AND(CL$7=$I24,ISNUMBER($I24)),"◆","")</f>
        <v/>
      </c>
      <c r="CM24" s="57" t="str">
        <f aca="false">IF(AND(CM$7=$I24,ISNUMBER($I24)),"◆","")</f>
        <v/>
      </c>
      <c r="CN24" s="57" t="str">
        <f aca="false">IF(AND(CN$7=$I24,ISNUMBER($I24)),"◆","")</f>
        <v/>
      </c>
      <c r="CO24" s="57" t="str">
        <f aca="false">IF(AND(CO$7=$I24,ISNUMBER($I24)),"◆","")</f>
        <v/>
      </c>
      <c r="CP24" s="57" t="str">
        <f aca="false">IF(AND(CP$7=$I24,ISNUMBER($I24)),"◆","")</f>
        <v/>
      </c>
      <c r="CQ24" s="57" t="str">
        <f aca="false">IF(AND(CQ$7=$I24,ISNUMBER($I24)),"◆","")</f>
        <v/>
      </c>
      <c r="CR24" s="57" t="str">
        <f aca="false">IF(AND(CR$7=$I24,ISNUMBER($I24)),"◆","")</f>
        <v/>
      </c>
      <c r="CS24" s="57" t="str">
        <f aca="false">IF(AND(CS$7=$I24,ISNUMBER($I24)),"◆","")</f>
        <v/>
      </c>
      <c r="CT24" s="57" t="str">
        <f aca="false">IF(AND(CT$7=$I24,ISNUMBER($I24)),"◆","")</f>
        <v/>
      </c>
      <c r="CU24" s="57" t="str">
        <f aca="false">IF(AND(CU$7=$I24,ISNUMBER($I24)),"◆","")</f>
        <v/>
      </c>
      <c r="CV24" s="57" t="str">
        <f aca="false">IF(AND(CV$7=$I24,ISNUMBER($I24)),"◆","")</f>
        <v/>
      </c>
      <c r="CW24" s="57" t="str">
        <f aca="false">IF(AND(CW$7=$I24,ISNUMBER($I24)),"◆","")</f>
        <v/>
      </c>
      <c r="CX24" s="57" t="str">
        <f aca="false">IF(AND(CX$7=$I24,ISNUMBER($I24)),"◆","")</f>
        <v/>
      </c>
      <c r="CY24" s="57" t="str">
        <f aca="false">IF(AND(CY$7=$I24,ISNUMBER($I24)),"◆","")</f>
        <v/>
      </c>
      <c r="CZ24" s="57" t="str">
        <f aca="false">IF(AND(CZ$7=$I24,ISNUMBER($I24)),"◆","")</f>
        <v/>
      </c>
      <c r="DA24" s="57" t="str">
        <f aca="false">IF(AND(DA$7=$I24,ISNUMBER($I24)),"◆","")</f>
        <v/>
      </c>
      <c r="DB24" s="57" t="str">
        <f aca="false">IF(AND(DB$7=$I24,ISNUMBER($I24)),"◆","")</f>
        <v/>
      </c>
      <c r="DC24" s="57" t="str">
        <f aca="false">IF(AND(DC$7=$I24,ISNUMBER($I24)),"◆","")</f>
        <v/>
      </c>
      <c r="DD24" s="57" t="str">
        <f aca="false">IF(AND(DD$7=$I24,ISNUMBER($I24)),"◆","")</f>
        <v/>
      </c>
      <c r="DE24" s="57" t="str">
        <f aca="false">IF(AND(DE$7=$I24,ISNUMBER($I24)),"◆","")</f>
        <v/>
      </c>
      <c r="DF24" s="57" t="str">
        <f aca="false">IF(AND(DF$7=$I24,ISNUMBER($I24)),"◆","")</f>
        <v/>
      </c>
      <c r="DG24" s="57" t="str">
        <f aca="false">IF(AND(DG$7=$I24,ISNUMBER($I24)),"◆","")</f>
        <v/>
      </c>
      <c r="DH24" s="57" t="str">
        <f aca="false">IF(AND(DH$7=$I24,ISNUMBER($I24)),"◆","")</f>
        <v/>
      </c>
      <c r="DI24" s="57" t="str">
        <f aca="false">IF(AND(DI$7=$I24,ISNUMBER($I24)),"◆","")</f>
        <v/>
      </c>
      <c r="DJ24" s="57" t="str">
        <f aca="false">IF(AND(DJ$7=$I24,ISNUMBER($I24)),"◆","")</f>
        <v/>
      </c>
      <c r="DK24" s="57" t="str">
        <f aca="false">IF(AND(DK$7=$I24,ISNUMBER($I24)),"◆","")</f>
        <v/>
      </c>
      <c r="DL24" s="57" t="str">
        <f aca="false">IF(AND(DL$7=$I24,ISNUMBER($I24)),"◆","")</f>
        <v/>
      </c>
      <c r="DM24" s="57" t="str">
        <f aca="false">IF(AND(DM$7=$I24,ISNUMBER($I24)),"◆","")</f>
        <v/>
      </c>
      <c r="DN24" s="57" t="str">
        <f aca="false">IF(AND(DN$7=$I24,ISNUMBER($I24)),"◆","")</f>
        <v/>
      </c>
      <c r="DO24" s="57" t="str">
        <f aca="false">IF(AND(DO$7=$I24,ISNUMBER($I24)),"◆","")</f>
        <v/>
      </c>
      <c r="DP24" s="57" t="str">
        <f aca="false">IF(AND(DP$7=$I24,ISNUMBER($I24)),"◆","")</f>
        <v/>
      </c>
      <c r="DQ24" s="57" t="str">
        <f aca="false">IF(AND(DQ$7=$I24,ISNUMBER($I24)),"◆","")</f>
        <v/>
      </c>
      <c r="DR24" s="57" t="str">
        <f aca="false">IF(AND(DR$7=$I24,ISNUMBER($I24)),"◆","")</f>
        <v/>
      </c>
      <c r="DS24" s="57" t="str">
        <f aca="false">IF(AND(DS$7=$I24,ISNUMBER($I24)),"◆","")</f>
        <v/>
      </c>
      <c r="DT24" s="57" t="str">
        <f aca="false">IF(AND(DT$7=$I24,ISNUMBER($I24)),"◆","")</f>
        <v/>
      </c>
      <c r="DU24" s="57" t="str">
        <f aca="false">IF(AND(DU$7=$I24,ISNUMBER($I24)),"◆","")</f>
        <v/>
      </c>
      <c r="DV24" s="57" t="str">
        <f aca="false">IF(AND(DV$7=$I24,ISNUMBER($I24)),"◆","")</f>
        <v/>
      </c>
      <c r="DW24" s="57" t="str">
        <f aca="false">IF(AND(DW$7=$I24,ISNUMBER($I24)),"◆","")</f>
        <v/>
      </c>
      <c r="DX24" s="57" t="str">
        <f aca="false">IF(AND(DX$7=$I24,ISNUMBER($I24)),"◆","")</f>
        <v/>
      </c>
      <c r="DY24" s="57" t="str">
        <f aca="false">IF(AND(DY$7=$I24,ISNUMBER($I24)),"◆","")</f>
        <v/>
      </c>
      <c r="DZ24" s="57" t="str">
        <f aca="false">IF(AND(DZ$7=$I24,ISNUMBER($I24)),"◆","")</f>
        <v/>
      </c>
      <c r="EA24" s="57" t="str">
        <f aca="false">IF(AND(EA$7=$I24,ISNUMBER($I24)),"◆","")</f>
        <v/>
      </c>
      <c r="EB24" s="57" t="str">
        <f aca="false">IF(AND(EB$7=$I24,ISNUMBER($I24)),"◆","")</f>
        <v/>
      </c>
      <c r="EC24" s="57" t="str">
        <f aca="false">IF(AND(EC$7=$I24,ISNUMBER($I24)),"◆","")</f>
        <v/>
      </c>
      <c r="ED24" s="57" t="str">
        <f aca="false">IF(AND(ED$7=$I24,ISNUMBER($I24)),"◆","")</f>
        <v/>
      </c>
      <c r="EE24" s="57" t="str">
        <f aca="false">IF(AND(EE$7=$I24,ISNUMBER($I24)),"◆","")</f>
        <v/>
      </c>
      <c r="EF24" s="57" t="str">
        <f aca="false">IF(AND(EF$7=$I24,ISNUMBER($I24)),"◆","")</f>
        <v/>
      </c>
      <c r="EG24" s="57" t="str">
        <f aca="false">IF(AND(EG$7=$I24,ISNUMBER($I24)),"◆","")</f>
        <v/>
      </c>
      <c r="EH24" s="57" t="str">
        <f aca="false">IF(AND(EH$7=$I24,ISNUMBER($I24)),"◆","")</f>
        <v/>
      </c>
      <c r="EI24" s="57" t="str">
        <f aca="false">IF(AND(EI$7=$I24,ISNUMBER($I24)),"◆","")</f>
        <v/>
      </c>
      <c r="EJ24" s="57" t="str">
        <f aca="false">IF(AND(EJ$7=$I24,ISNUMBER($I24)),"◆","")</f>
        <v/>
      </c>
      <c r="EK24" s="57" t="str">
        <f aca="false">IF(AND(EK$7=$I24,ISNUMBER($I24)),"◆","")</f>
        <v/>
      </c>
      <c r="EL24" s="57" t="str">
        <f aca="false">IF(AND(EL$7=$I24,ISNUMBER($I24)),"◆","")</f>
        <v/>
      </c>
      <c r="EM24" s="57" t="str">
        <f aca="false">IF(AND(EM$7=$I24,ISNUMBER($I24)),"◆","")</f>
        <v/>
      </c>
      <c r="EN24" s="57" t="str">
        <f aca="false">IF(AND(EN$7=$I24,ISNUMBER($I24)),"◆","")</f>
        <v/>
      </c>
      <c r="EO24" s="57" t="str">
        <f aca="false">IF(AND(EO$7=$I24,ISNUMBER($I24)),"◆","")</f>
        <v/>
      </c>
      <c r="EP24" s="57" t="str">
        <f aca="false">IF(AND(EP$7=$I24,ISNUMBER($I24)),"◆","")</f>
        <v/>
      </c>
      <c r="EQ24" s="57" t="str">
        <f aca="false">IF(AND(EQ$7=$I24,ISNUMBER($I24)),"◆","")</f>
        <v/>
      </c>
      <c r="ER24" s="57" t="str">
        <f aca="false">IF(AND(ER$7=$I24,ISNUMBER($I24)),"◆","")</f>
        <v/>
      </c>
      <c r="ES24" s="57" t="str">
        <f aca="false">IF(AND(ES$7=$I24,ISNUMBER($I24)),"◆","")</f>
        <v/>
      </c>
      <c r="ET24" s="57" t="str">
        <f aca="false">IF(AND(ET$7=$I24,ISNUMBER($I24)),"◆","")</f>
        <v/>
      </c>
      <c r="EU24" s="57" t="str">
        <f aca="false">IF(AND(EU$7=$I24,ISNUMBER($I24)),"◆","")</f>
        <v/>
      </c>
      <c r="EV24" s="57" t="str">
        <f aca="false">IF(AND(EV$7=$I24,ISNUMBER($I24)),"◆","")</f>
        <v/>
      </c>
      <c r="EW24" s="57" t="str">
        <f aca="false">IF(AND(EW$7=$I24,ISNUMBER($I24)),"◆","")</f>
        <v/>
      </c>
      <c r="EX24" s="57" t="str">
        <f aca="false">IF(AND(EX$7=$I24,ISNUMBER($I24)),"◆","")</f>
        <v/>
      </c>
      <c r="EY24" s="57" t="str">
        <f aca="false">IF(AND(EY$7=$I24,ISNUMBER($I24)),"◆","")</f>
        <v/>
      </c>
      <c r="EZ24" s="57" t="str">
        <f aca="false">IF(AND(EZ$7=$I24,ISNUMBER($I24)),"◆","")</f>
        <v/>
      </c>
      <c r="FA24" s="57" t="str">
        <f aca="false">IF(AND(FA$7=$I24,ISNUMBER($I24)),"◆","")</f>
        <v/>
      </c>
      <c r="FB24" s="57" t="str">
        <f aca="false">IF(AND(FB$7=$I24,ISNUMBER($I24)),"◆","")</f>
        <v/>
      </c>
      <c r="FC24" s="57" t="str">
        <f aca="false">IF(AND(FC$7=$I24,ISNUMBER($I24)),"◆","")</f>
        <v/>
      </c>
      <c r="FD24" s="57" t="str">
        <f aca="false">IF(AND(FD$7=$I24,ISNUMBER($I24)),"◆","")</f>
        <v/>
      </c>
      <c r="FE24" s="57" t="str">
        <f aca="false">IF(AND(FE$7=$I24,ISNUMBER($I24)),"◆","")</f>
        <v/>
      </c>
      <c r="FF24" s="57" t="str">
        <f aca="false">IF(AND(FF$7=$I24,ISNUMBER($I24)),"◆","")</f>
        <v/>
      </c>
      <c r="FG24" s="57" t="str">
        <f aca="false">IF(AND(FG$7=$I24,ISNUMBER($I24)),"◆","")</f>
        <v/>
      </c>
      <c r="FH24" s="57" t="str">
        <f aca="false">IF(AND(FH$7=$I24,ISNUMBER($I24)),"◆","")</f>
        <v/>
      </c>
      <c r="FI24" s="57" t="str">
        <f aca="false">IF(AND(FI$7=$I24,ISNUMBER($I24)),"◆","")</f>
        <v/>
      </c>
      <c r="FJ24" s="57" t="str">
        <f aca="false">IF(AND(FJ$7=$I24,ISNUMBER($I24)),"◆","")</f>
        <v/>
      </c>
      <c r="FK24" s="57" t="str">
        <f aca="false">IF(AND(FK$7=$I24,ISNUMBER($I24)),"◆","")</f>
        <v/>
      </c>
      <c r="FL24" s="57" t="str">
        <f aca="false">IF(AND(FL$7=$I24,ISNUMBER($I24)),"◆","")</f>
        <v/>
      </c>
      <c r="FM24" s="57" t="str">
        <f aca="false">IF(AND(FM$7=$I24,ISNUMBER($I24)),"◆","")</f>
        <v/>
      </c>
      <c r="FN24" s="57" t="str">
        <f aca="false">IF(AND(FN$7=$I24,ISNUMBER($I24)),"◆","")</f>
        <v/>
      </c>
      <c r="FO24" s="57" t="str">
        <f aca="false">IF(AND(FO$7=$I24,ISNUMBER($I24)),"◆","")</f>
        <v/>
      </c>
      <c r="FP24" s="57" t="str">
        <f aca="false">IF(AND(FP$7=$I24,ISNUMBER($I24)),"◆","")</f>
        <v/>
      </c>
      <c r="FQ24" s="57" t="str">
        <f aca="false">IF(AND(FQ$7=$I24,ISNUMBER($I24)),"◆","")</f>
        <v/>
      </c>
      <c r="FR24" s="57" t="str">
        <f aca="false">IF(AND(FR$7=$I24,ISNUMBER($I24)),"◆","")</f>
        <v/>
      </c>
      <c r="FS24" s="57" t="str">
        <f aca="false">IF(AND(FS$7=$I24,ISNUMBER($I24)),"◆","")</f>
        <v/>
      </c>
      <c r="FT24" s="57" t="str">
        <f aca="false">IF(AND(FT$7=$I24,ISNUMBER($I24)),"◆","")</f>
        <v/>
      </c>
      <c r="FU24" s="57" t="str">
        <f aca="false">IF(AND(FU$7=$I24,ISNUMBER($I24)),"◆","")</f>
        <v/>
      </c>
      <c r="FV24" s="57" t="str">
        <f aca="false">IF(AND(FV$7=$I24,ISNUMBER($I24)),"◆","")</f>
        <v/>
      </c>
    </row>
    <row r="25" customFormat="false" ht="25.5" hidden="false" customHeight="true" outlineLevel="0" collapsed="false">
      <c r="A25" s="50" t="str">
        <f aca="false">制作工程表!A21</f>
        <v>T13</v>
      </c>
      <c r="B25" s="51" t="str">
        <f aca="false">制作工程表!B21</f>
        <v>取材撮影</v>
      </c>
      <c r="C25" s="52" t="str">
        <f aca="false">制作工程表!C21</f>
        <v>予備撮影日（天候・施工先の都合）</v>
      </c>
      <c r="D25" s="53" t="str">
        <f aca="false">制作工程表!D21</f>
        <v>カメラマン</v>
      </c>
      <c r="E25" s="53" t="str">
        <f aca="false">制作工程表!E21</f>
        <v>広報窓口</v>
      </c>
      <c r="F25" s="54" t="str">
        <f aca="false">IF(制作工程表!B21="取材撮影","撮影",IF(OR(制作工程表!D21="広報窓口",制作工程表!D21="代表",制作工程表!D21="技術営業課",制作工程表!D21="品質管理課",制作工程表!D21="製造部"),"企業","制作"))</f>
        <v>撮影</v>
      </c>
      <c r="G25" s="55" t="n">
        <f aca="false">制作工程表!G21</f>
        <v>46407</v>
      </c>
      <c r="H25" s="55" t="n">
        <f aca="false">制作工程表!H21</f>
        <v>46407</v>
      </c>
      <c r="I25" s="56" t="str">
        <f aca="false">制作工程表!I21</f>
        <v>—</v>
      </c>
      <c r="J25" s="51" t="str">
        <f aca="false">制作工程表!K21</f>
        <v>未着手</v>
      </c>
      <c r="K25" s="57" t="str">
        <f aca="false">IF(AND(K$7=$I25,ISNUMBER($I25)),"◆","")</f>
        <v/>
      </c>
      <c r="L25" s="57" t="str">
        <f aca="false">IF(AND(L$7=$I25,ISNUMBER($I25)),"◆","")</f>
        <v/>
      </c>
      <c r="M25" s="57" t="str">
        <f aca="false">IF(AND(M$7=$I25,ISNUMBER($I25)),"◆","")</f>
        <v/>
      </c>
      <c r="N25" s="57" t="str">
        <f aca="false">IF(AND(N$7=$I25,ISNUMBER($I25)),"◆","")</f>
        <v/>
      </c>
      <c r="O25" s="57" t="str">
        <f aca="false">IF(AND(O$7=$I25,ISNUMBER($I25)),"◆","")</f>
        <v/>
      </c>
      <c r="P25" s="57" t="str">
        <f aca="false">IF(AND(P$7=$I25,ISNUMBER($I25)),"◆","")</f>
        <v/>
      </c>
      <c r="Q25" s="57" t="str">
        <f aca="false">IF(AND(Q$7=$I25,ISNUMBER($I25)),"◆","")</f>
        <v/>
      </c>
      <c r="R25" s="57" t="str">
        <f aca="false">IF(AND(R$7=$I25,ISNUMBER($I25)),"◆","")</f>
        <v/>
      </c>
      <c r="S25" s="57" t="str">
        <f aca="false">IF(AND(S$7=$I25,ISNUMBER($I25)),"◆","")</f>
        <v/>
      </c>
      <c r="T25" s="57" t="str">
        <f aca="false">IF(AND(T$7=$I25,ISNUMBER($I25)),"◆","")</f>
        <v/>
      </c>
      <c r="U25" s="57" t="str">
        <f aca="false">IF(AND(U$7=$I25,ISNUMBER($I25)),"◆","")</f>
        <v/>
      </c>
      <c r="V25" s="57" t="str">
        <f aca="false">IF(AND(V$7=$I25,ISNUMBER($I25)),"◆","")</f>
        <v/>
      </c>
      <c r="W25" s="57" t="str">
        <f aca="false">IF(AND(W$7=$I25,ISNUMBER($I25)),"◆","")</f>
        <v/>
      </c>
      <c r="X25" s="57" t="str">
        <f aca="false">IF(AND(X$7=$I25,ISNUMBER($I25)),"◆","")</f>
        <v/>
      </c>
      <c r="Y25" s="57" t="str">
        <f aca="false">IF(AND(Y$7=$I25,ISNUMBER($I25)),"◆","")</f>
        <v/>
      </c>
      <c r="Z25" s="57" t="str">
        <f aca="false">IF(AND(Z$7=$I25,ISNUMBER($I25)),"◆","")</f>
        <v/>
      </c>
      <c r="AA25" s="57" t="str">
        <f aca="false">IF(AND(AA$7=$I25,ISNUMBER($I25)),"◆","")</f>
        <v/>
      </c>
      <c r="AB25" s="57" t="str">
        <f aca="false">IF(AND(AB$7=$I25,ISNUMBER($I25)),"◆","")</f>
        <v/>
      </c>
      <c r="AC25" s="57" t="str">
        <f aca="false">IF(AND(AC$7=$I25,ISNUMBER($I25)),"◆","")</f>
        <v/>
      </c>
      <c r="AD25" s="57" t="str">
        <f aca="false">IF(AND(AD$7=$I25,ISNUMBER($I25)),"◆","")</f>
        <v/>
      </c>
      <c r="AE25" s="57" t="str">
        <f aca="false">IF(AND(AE$7=$I25,ISNUMBER($I25)),"◆","")</f>
        <v/>
      </c>
      <c r="AF25" s="57" t="str">
        <f aca="false">IF(AND(AF$7=$I25,ISNUMBER($I25)),"◆","")</f>
        <v/>
      </c>
      <c r="AG25" s="57" t="str">
        <f aca="false">IF(AND(AG$7=$I25,ISNUMBER($I25)),"◆","")</f>
        <v/>
      </c>
      <c r="AH25" s="57" t="str">
        <f aca="false">IF(AND(AH$7=$I25,ISNUMBER($I25)),"◆","")</f>
        <v/>
      </c>
      <c r="AI25" s="57" t="str">
        <f aca="false">IF(AND(AI$7=$I25,ISNUMBER($I25)),"◆","")</f>
        <v/>
      </c>
      <c r="AJ25" s="57" t="str">
        <f aca="false">IF(AND(AJ$7=$I25,ISNUMBER($I25)),"◆","")</f>
        <v/>
      </c>
      <c r="AK25" s="57" t="str">
        <f aca="false">IF(AND(AK$7=$I25,ISNUMBER($I25)),"◆","")</f>
        <v/>
      </c>
      <c r="AL25" s="57" t="str">
        <f aca="false">IF(AND(AL$7=$I25,ISNUMBER($I25)),"◆","")</f>
        <v/>
      </c>
      <c r="AM25" s="57" t="str">
        <f aca="false">IF(AND(AM$7=$I25,ISNUMBER($I25)),"◆","")</f>
        <v/>
      </c>
      <c r="AN25" s="57" t="str">
        <f aca="false">IF(AND(AN$7=$I25,ISNUMBER($I25)),"◆","")</f>
        <v/>
      </c>
      <c r="AO25" s="57" t="str">
        <f aca="false">IF(AND(AO$7=$I25,ISNUMBER($I25)),"◆","")</f>
        <v/>
      </c>
      <c r="AP25" s="57" t="str">
        <f aca="false">IF(AND(AP$7=$I25,ISNUMBER($I25)),"◆","")</f>
        <v/>
      </c>
      <c r="AQ25" s="57" t="str">
        <f aca="false">IF(AND(AQ$7=$I25,ISNUMBER($I25)),"◆","")</f>
        <v/>
      </c>
      <c r="AR25" s="57" t="str">
        <f aca="false">IF(AND(AR$7=$I25,ISNUMBER($I25)),"◆","")</f>
        <v/>
      </c>
      <c r="AS25" s="57" t="str">
        <f aca="false">IF(AND(AS$7=$I25,ISNUMBER($I25)),"◆","")</f>
        <v/>
      </c>
      <c r="AT25" s="57" t="str">
        <f aca="false">IF(AND(AT$7=$I25,ISNUMBER($I25)),"◆","")</f>
        <v/>
      </c>
      <c r="AU25" s="57" t="str">
        <f aca="false">IF(AND(AU$7=$I25,ISNUMBER($I25)),"◆","")</f>
        <v/>
      </c>
      <c r="AV25" s="57" t="str">
        <f aca="false">IF(AND(AV$7=$I25,ISNUMBER($I25)),"◆","")</f>
        <v/>
      </c>
      <c r="AW25" s="57" t="str">
        <f aca="false">IF(AND(AW$7=$I25,ISNUMBER($I25)),"◆","")</f>
        <v/>
      </c>
      <c r="AX25" s="57" t="str">
        <f aca="false">IF(AND(AX$7=$I25,ISNUMBER($I25)),"◆","")</f>
        <v/>
      </c>
      <c r="AY25" s="57" t="str">
        <f aca="false">IF(AND(AY$7=$I25,ISNUMBER($I25)),"◆","")</f>
        <v/>
      </c>
      <c r="AZ25" s="57" t="str">
        <f aca="false">IF(AND(AZ$7=$I25,ISNUMBER($I25)),"◆","")</f>
        <v/>
      </c>
      <c r="BA25" s="57" t="str">
        <f aca="false">IF(AND(BA$7=$I25,ISNUMBER($I25)),"◆","")</f>
        <v/>
      </c>
      <c r="BB25" s="57" t="str">
        <f aca="false">IF(AND(BB$7=$I25,ISNUMBER($I25)),"◆","")</f>
        <v/>
      </c>
      <c r="BC25" s="57" t="str">
        <f aca="false">IF(AND(BC$7=$I25,ISNUMBER($I25)),"◆","")</f>
        <v/>
      </c>
      <c r="BD25" s="57" t="str">
        <f aca="false">IF(AND(BD$7=$I25,ISNUMBER($I25)),"◆","")</f>
        <v/>
      </c>
      <c r="BE25" s="57" t="str">
        <f aca="false">IF(AND(BE$7=$I25,ISNUMBER($I25)),"◆","")</f>
        <v/>
      </c>
      <c r="BF25" s="57" t="str">
        <f aca="false">IF(AND(BF$7=$I25,ISNUMBER($I25)),"◆","")</f>
        <v/>
      </c>
      <c r="BG25" s="57" t="str">
        <f aca="false">IF(AND(BG$7=$I25,ISNUMBER($I25)),"◆","")</f>
        <v/>
      </c>
      <c r="BH25" s="57" t="str">
        <f aca="false">IF(AND(BH$7=$I25,ISNUMBER($I25)),"◆","")</f>
        <v/>
      </c>
      <c r="BI25" s="57" t="str">
        <f aca="false">IF(AND(BI$7=$I25,ISNUMBER($I25)),"◆","")</f>
        <v/>
      </c>
      <c r="BJ25" s="57" t="str">
        <f aca="false">IF(AND(BJ$7=$I25,ISNUMBER($I25)),"◆","")</f>
        <v/>
      </c>
      <c r="BK25" s="57" t="str">
        <f aca="false">IF(AND(BK$7=$I25,ISNUMBER($I25)),"◆","")</f>
        <v/>
      </c>
      <c r="BL25" s="57" t="str">
        <f aca="false">IF(AND(BL$7=$I25,ISNUMBER($I25)),"◆","")</f>
        <v/>
      </c>
      <c r="BM25" s="57" t="str">
        <f aca="false">IF(AND(BM$7=$I25,ISNUMBER($I25)),"◆","")</f>
        <v/>
      </c>
      <c r="BN25" s="57" t="str">
        <f aca="false">IF(AND(BN$7=$I25,ISNUMBER($I25)),"◆","")</f>
        <v/>
      </c>
      <c r="BO25" s="57" t="str">
        <f aca="false">IF(AND(BO$7=$I25,ISNUMBER($I25)),"◆","")</f>
        <v/>
      </c>
      <c r="BP25" s="57" t="str">
        <f aca="false">IF(AND(BP$7=$I25,ISNUMBER($I25)),"◆","")</f>
        <v/>
      </c>
      <c r="BQ25" s="57" t="str">
        <f aca="false">IF(AND(BQ$7=$I25,ISNUMBER($I25)),"◆","")</f>
        <v/>
      </c>
      <c r="BR25" s="57" t="str">
        <f aca="false">IF(AND(BR$7=$I25,ISNUMBER($I25)),"◆","")</f>
        <v/>
      </c>
      <c r="BS25" s="57" t="str">
        <f aca="false">IF(AND(BS$7=$I25,ISNUMBER($I25)),"◆","")</f>
        <v/>
      </c>
      <c r="BT25" s="57" t="str">
        <f aca="false">IF(AND(BT$7=$I25,ISNUMBER($I25)),"◆","")</f>
        <v/>
      </c>
      <c r="BU25" s="57" t="str">
        <f aca="false">IF(AND(BU$7=$I25,ISNUMBER($I25)),"◆","")</f>
        <v/>
      </c>
      <c r="BV25" s="57" t="str">
        <f aca="false">IF(AND(BV$7=$I25,ISNUMBER($I25)),"◆","")</f>
        <v/>
      </c>
      <c r="BW25" s="57" t="str">
        <f aca="false">IF(AND(BW$7=$I25,ISNUMBER($I25)),"◆","")</f>
        <v/>
      </c>
      <c r="BX25" s="57" t="str">
        <f aca="false">IF(AND(BX$7=$I25,ISNUMBER($I25)),"◆","")</f>
        <v/>
      </c>
      <c r="BY25" s="57" t="str">
        <f aca="false">IF(AND(BY$7=$I25,ISNUMBER($I25)),"◆","")</f>
        <v/>
      </c>
      <c r="BZ25" s="57" t="str">
        <f aca="false">IF(AND(BZ$7=$I25,ISNUMBER($I25)),"◆","")</f>
        <v/>
      </c>
      <c r="CA25" s="57" t="str">
        <f aca="false">IF(AND(CA$7=$I25,ISNUMBER($I25)),"◆","")</f>
        <v/>
      </c>
      <c r="CB25" s="57" t="str">
        <f aca="false">IF(AND(CB$7=$I25,ISNUMBER($I25)),"◆","")</f>
        <v/>
      </c>
      <c r="CC25" s="57" t="str">
        <f aca="false">IF(AND(CC$7=$I25,ISNUMBER($I25)),"◆","")</f>
        <v/>
      </c>
      <c r="CD25" s="57" t="str">
        <f aca="false">IF(AND(CD$7=$I25,ISNUMBER($I25)),"◆","")</f>
        <v/>
      </c>
      <c r="CE25" s="57" t="str">
        <f aca="false">IF(AND(CE$7=$I25,ISNUMBER($I25)),"◆","")</f>
        <v/>
      </c>
      <c r="CF25" s="57" t="str">
        <f aca="false">IF(AND(CF$7=$I25,ISNUMBER($I25)),"◆","")</f>
        <v/>
      </c>
      <c r="CG25" s="57" t="str">
        <f aca="false">IF(AND(CG$7=$I25,ISNUMBER($I25)),"◆","")</f>
        <v/>
      </c>
      <c r="CH25" s="57" t="str">
        <f aca="false">IF(AND(CH$7=$I25,ISNUMBER($I25)),"◆","")</f>
        <v/>
      </c>
      <c r="CI25" s="57" t="str">
        <f aca="false">IF(AND(CI$7=$I25,ISNUMBER($I25)),"◆","")</f>
        <v/>
      </c>
      <c r="CJ25" s="57" t="str">
        <f aca="false">IF(AND(CJ$7=$I25,ISNUMBER($I25)),"◆","")</f>
        <v/>
      </c>
      <c r="CK25" s="57" t="str">
        <f aca="false">IF(AND(CK$7=$I25,ISNUMBER($I25)),"◆","")</f>
        <v/>
      </c>
      <c r="CL25" s="57" t="str">
        <f aca="false">IF(AND(CL$7=$I25,ISNUMBER($I25)),"◆","")</f>
        <v/>
      </c>
      <c r="CM25" s="57" t="str">
        <f aca="false">IF(AND(CM$7=$I25,ISNUMBER($I25)),"◆","")</f>
        <v/>
      </c>
      <c r="CN25" s="57" t="str">
        <f aca="false">IF(AND(CN$7=$I25,ISNUMBER($I25)),"◆","")</f>
        <v/>
      </c>
      <c r="CO25" s="57" t="str">
        <f aca="false">IF(AND(CO$7=$I25,ISNUMBER($I25)),"◆","")</f>
        <v/>
      </c>
      <c r="CP25" s="57" t="str">
        <f aca="false">IF(AND(CP$7=$I25,ISNUMBER($I25)),"◆","")</f>
        <v/>
      </c>
      <c r="CQ25" s="57" t="str">
        <f aca="false">IF(AND(CQ$7=$I25,ISNUMBER($I25)),"◆","")</f>
        <v/>
      </c>
      <c r="CR25" s="57" t="str">
        <f aca="false">IF(AND(CR$7=$I25,ISNUMBER($I25)),"◆","")</f>
        <v/>
      </c>
      <c r="CS25" s="57" t="str">
        <f aca="false">IF(AND(CS$7=$I25,ISNUMBER($I25)),"◆","")</f>
        <v/>
      </c>
      <c r="CT25" s="57" t="str">
        <f aca="false">IF(AND(CT$7=$I25,ISNUMBER($I25)),"◆","")</f>
        <v/>
      </c>
      <c r="CU25" s="57" t="str">
        <f aca="false">IF(AND(CU$7=$I25,ISNUMBER($I25)),"◆","")</f>
        <v/>
      </c>
      <c r="CV25" s="57" t="str">
        <f aca="false">IF(AND(CV$7=$I25,ISNUMBER($I25)),"◆","")</f>
        <v/>
      </c>
      <c r="CW25" s="57" t="str">
        <f aca="false">IF(AND(CW$7=$I25,ISNUMBER($I25)),"◆","")</f>
        <v/>
      </c>
      <c r="CX25" s="57" t="str">
        <f aca="false">IF(AND(CX$7=$I25,ISNUMBER($I25)),"◆","")</f>
        <v/>
      </c>
      <c r="CY25" s="57" t="str">
        <f aca="false">IF(AND(CY$7=$I25,ISNUMBER($I25)),"◆","")</f>
        <v/>
      </c>
      <c r="CZ25" s="57" t="str">
        <f aca="false">IF(AND(CZ$7=$I25,ISNUMBER($I25)),"◆","")</f>
        <v/>
      </c>
      <c r="DA25" s="57" t="str">
        <f aca="false">IF(AND(DA$7=$I25,ISNUMBER($I25)),"◆","")</f>
        <v/>
      </c>
      <c r="DB25" s="57" t="str">
        <f aca="false">IF(AND(DB$7=$I25,ISNUMBER($I25)),"◆","")</f>
        <v/>
      </c>
      <c r="DC25" s="57" t="str">
        <f aca="false">IF(AND(DC$7=$I25,ISNUMBER($I25)),"◆","")</f>
        <v/>
      </c>
      <c r="DD25" s="57" t="str">
        <f aca="false">IF(AND(DD$7=$I25,ISNUMBER($I25)),"◆","")</f>
        <v/>
      </c>
      <c r="DE25" s="57" t="str">
        <f aca="false">IF(AND(DE$7=$I25,ISNUMBER($I25)),"◆","")</f>
        <v/>
      </c>
      <c r="DF25" s="57" t="str">
        <f aca="false">IF(AND(DF$7=$I25,ISNUMBER($I25)),"◆","")</f>
        <v/>
      </c>
      <c r="DG25" s="57" t="str">
        <f aca="false">IF(AND(DG$7=$I25,ISNUMBER($I25)),"◆","")</f>
        <v/>
      </c>
      <c r="DH25" s="57" t="str">
        <f aca="false">IF(AND(DH$7=$I25,ISNUMBER($I25)),"◆","")</f>
        <v/>
      </c>
      <c r="DI25" s="57" t="str">
        <f aca="false">IF(AND(DI$7=$I25,ISNUMBER($I25)),"◆","")</f>
        <v/>
      </c>
      <c r="DJ25" s="57" t="str">
        <f aca="false">IF(AND(DJ$7=$I25,ISNUMBER($I25)),"◆","")</f>
        <v/>
      </c>
      <c r="DK25" s="57" t="str">
        <f aca="false">IF(AND(DK$7=$I25,ISNUMBER($I25)),"◆","")</f>
        <v/>
      </c>
      <c r="DL25" s="57" t="str">
        <f aca="false">IF(AND(DL$7=$I25,ISNUMBER($I25)),"◆","")</f>
        <v/>
      </c>
      <c r="DM25" s="57" t="str">
        <f aca="false">IF(AND(DM$7=$I25,ISNUMBER($I25)),"◆","")</f>
        <v/>
      </c>
      <c r="DN25" s="57" t="str">
        <f aca="false">IF(AND(DN$7=$I25,ISNUMBER($I25)),"◆","")</f>
        <v/>
      </c>
      <c r="DO25" s="57" t="str">
        <f aca="false">IF(AND(DO$7=$I25,ISNUMBER($I25)),"◆","")</f>
        <v/>
      </c>
      <c r="DP25" s="57" t="str">
        <f aca="false">IF(AND(DP$7=$I25,ISNUMBER($I25)),"◆","")</f>
        <v/>
      </c>
      <c r="DQ25" s="57" t="str">
        <f aca="false">IF(AND(DQ$7=$I25,ISNUMBER($I25)),"◆","")</f>
        <v/>
      </c>
      <c r="DR25" s="57" t="str">
        <f aca="false">IF(AND(DR$7=$I25,ISNUMBER($I25)),"◆","")</f>
        <v/>
      </c>
      <c r="DS25" s="57" t="str">
        <f aca="false">IF(AND(DS$7=$I25,ISNUMBER($I25)),"◆","")</f>
        <v/>
      </c>
      <c r="DT25" s="57" t="str">
        <f aca="false">IF(AND(DT$7=$I25,ISNUMBER($I25)),"◆","")</f>
        <v/>
      </c>
      <c r="DU25" s="57" t="str">
        <f aca="false">IF(AND(DU$7=$I25,ISNUMBER($I25)),"◆","")</f>
        <v/>
      </c>
      <c r="DV25" s="57" t="str">
        <f aca="false">IF(AND(DV$7=$I25,ISNUMBER($I25)),"◆","")</f>
        <v/>
      </c>
      <c r="DW25" s="57" t="str">
        <f aca="false">IF(AND(DW$7=$I25,ISNUMBER($I25)),"◆","")</f>
        <v/>
      </c>
      <c r="DX25" s="57" t="str">
        <f aca="false">IF(AND(DX$7=$I25,ISNUMBER($I25)),"◆","")</f>
        <v/>
      </c>
      <c r="DY25" s="57" t="str">
        <f aca="false">IF(AND(DY$7=$I25,ISNUMBER($I25)),"◆","")</f>
        <v/>
      </c>
      <c r="DZ25" s="57" t="str">
        <f aca="false">IF(AND(DZ$7=$I25,ISNUMBER($I25)),"◆","")</f>
        <v/>
      </c>
      <c r="EA25" s="57" t="str">
        <f aca="false">IF(AND(EA$7=$I25,ISNUMBER($I25)),"◆","")</f>
        <v/>
      </c>
      <c r="EB25" s="57" t="str">
        <f aca="false">IF(AND(EB$7=$I25,ISNUMBER($I25)),"◆","")</f>
        <v/>
      </c>
      <c r="EC25" s="57" t="str">
        <f aca="false">IF(AND(EC$7=$I25,ISNUMBER($I25)),"◆","")</f>
        <v/>
      </c>
      <c r="ED25" s="57" t="str">
        <f aca="false">IF(AND(ED$7=$I25,ISNUMBER($I25)),"◆","")</f>
        <v/>
      </c>
      <c r="EE25" s="57" t="str">
        <f aca="false">IF(AND(EE$7=$I25,ISNUMBER($I25)),"◆","")</f>
        <v/>
      </c>
      <c r="EF25" s="57" t="str">
        <f aca="false">IF(AND(EF$7=$I25,ISNUMBER($I25)),"◆","")</f>
        <v/>
      </c>
      <c r="EG25" s="57" t="str">
        <f aca="false">IF(AND(EG$7=$I25,ISNUMBER($I25)),"◆","")</f>
        <v/>
      </c>
      <c r="EH25" s="57" t="str">
        <f aca="false">IF(AND(EH$7=$I25,ISNUMBER($I25)),"◆","")</f>
        <v/>
      </c>
      <c r="EI25" s="57" t="str">
        <f aca="false">IF(AND(EI$7=$I25,ISNUMBER($I25)),"◆","")</f>
        <v/>
      </c>
      <c r="EJ25" s="57" t="str">
        <f aca="false">IF(AND(EJ$7=$I25,ISNUMBER($I25)),"◆","")</f>
        <v/>
      </c>
      <c r="EK25" s="57" t="str">
        <f aca="false">IF(AND(EK$7=$I25,ISNUMBER($I25)),"◆","")</f>
        <v/>
      </c>
      <c r="EL25" s="57" t="str">
        <f aca="false">IF(AND(EL$7=$I25,ISNUMBER($I25)),"◆","")</f>
        <v/>
      </c>
      <c r="EM25" s="57" t="str">
        <f aca="false">IF(AND(EM$7=$I25,ISNUMBER($I25)),"◆","")</f>
        <v/>
      </c>
      <c r="EN25" s="57" t="str">
        <f aca="false">IF(AND(EN$7=$I25,ISNUMBER($I25)),"◆","")</f>
        <v/>
      </c>
      <c r="EO25" s="57" t="str">
        <f aca="false">IF(AND(EO$7=$I25,ISNUMBER($I25)),"◆","")</f>
        <v/>
      </c>
      <c r="EP25" s="57" t="str">
        <f aca="false">IF(AND(EP$7=$I25,ISNUMBER($I25)),"◆","")</f>
        <v/>
      </c>
      <c r="EQ25" s="57" t="str">
        <f aca="false">IF(AND(EQ$7=$I25,ISNUMBER($I25)),"◆","")</f>
        <v/>
      </c>
      <c r="ER25" s="57" t="str">
        <f aca="false">IF(AND(ER$7=$I25,ISNUMBER($I25)),"◆","")</f>
        <v/>
      </c>
      <c r="ES25" s="57" t="str">
        <f aca="false">IF(AND(ES$7=$I25,ISNUMBER($I25)),"◆","")</f>
        <v/>
      </c>
      <c r="ET25" s="57" t="str">
        <f aca="false">IF(AND(ET$7=$I25,ISNUMBER($I25)),"◆","")</f>
        <v/>
      </c>
      <c r="EU25" s="57" t="str">
        <f aca="false">IF(AND(EU$7=$I25,ISNUMBER($I25)),"◆","")</f>
        <v/>
      </c>
      <c r="EV25" s="57" t="str">
        <f aca="false">IF(AND(EV$7=$I25,ISNUMBER($I25)),"◆","")</f>
        <v/>
      </c>
      <c r="EW25" s="57" t="str">
        <f aca="false">IF(AND(EW$7=$I25,ISNUMBER($I25)),"◆","")</f>
        <v/>
      </c>
      <c r="EX25" s="57" t="str">
        <f aca="false">IF(AND(EX$7=$I25,ISNUMBER($I25)),"◆","")</f>
        <v/>
      </c>
      <c r="EY25" s="57" t="str">
        <f aca="false">IF(AND(EY$7=$I25,ISNUMBER($I25)),"◆","")</f>
        <v/>
      </c>
      <c r="EZ25" s="57" t="str">
        <f aca="false">IF(AND(EZ$7=$I25,ISNUMBER($I25)),"◆","")</f>
        <v/>
      </c>
      <c r="FA25" s="57" t="str">
        <f aca="false">IF(AND(FA$7=$I25,ISNUMBER($I25)),"◆","")</f>
        <v/>
      </c>
      <c r="FB25" s="57" t="str">
        <f aca="false">IF(AND(FB$7=$I25,ISNUMBER($I25)),"◆","")</f>
        <v/>
      </c>
      <c r="FC25" s="57" t="str">
        <f aca="false">IF(AND(FC$7=$I25,ISNUMBER($I25)),"◆","")</f>
        <v/>
      </c>
      <c r="FD25" s="57" t="str">
        <f aca="false">IF(AND(FD$7=$I25,ISNUMBER($I25)),"◆","")</f>
        <v/>
      </c>
      <c r="FE25" s="57" t="str">
        <f aca="false">IF(AND(FE$7=$I25,ISNUMBER($I25)),"◆","")</f>
        <v/>
      </c>
      <c r="FF25" s="57" t="str">
        <f aca="false">IF(AND(FF$7=$I25,ISNUMBER($I25)),"◆","")</f>
        <v/>
      </c>
      <c r="FG25" s="57" t="str">
        <f aca="false">IF(AND(FG$7=$I25,ISNUMBER($I25)),"◆","")</f>
        <v/>
      </c>
      <c r="FH25" s="57" t="str">
        <f aca="false">IF(AND(FH$7=$I25,ISNUMBER($I25)),"◆","")</f>
        <v/>
      </c>
      <c r="FI25" s="57" t="str">
        <f aca="false">IF(AND(FI$7=$I25,ISNUMBER($I25)),"◆","")</f>
        <v/>
      </c>
      <c r="FJ25" s="57" t="str">
        <f aca="false">IF(AND(FJ$7=$I25,ISNUMBER($I25)),"◆","")</f>
        <v/>
      </c>
      <c r="FK25" s="57" t="str">
        <f aca="false">IF(AND(FK$7=$I25,ISNUMBER($I25)),"◆","")</f>
        <v/>
      </c>
      <c r="FL25" s="57" t="str">
        <f aca="false">IF(AND(FL$7=$I25,ISNUMBER($I25)),"◆","")</f>
        <v/>
      </c>
      <c r="FM25" s="57" t="str">
        <f aca="false">IF(AND(FM$7=$I25,ISNUMBER($I25)),"◆","")</f>
        <v/>
      </c>
      <c r="FN25" s="57" t="str">
        <f aca="false">IF(AND(FN$7=$I25,ISNUMBER($I25)),"◆","")</f>
        <v/>
      </c>
      <c r="FO25" s="57" t="str">
        <f aca="false">IF(AND(FO$7=$I25,ISNUMBER($I25)),"◆","")</f>
        <v/>
      </c>
      <c r="FP25" s="57" t="str">
        <f aca="false">IF(AND(FP$7=$I25,ISNUMBER($I25)),"◆","")</f>
        <v/>
      </c>
      <c r="FQ25" s="57" t="str">
        <f aca="false">IF(AND(FQ$7=$I25,ISNUMBER($I25)),"◆","")</f>
        <v/>
      </c>
      <c r="FR25" s="57" t="str">
        <f aca="false">IF(AND(FR$7=$I25,ISNUMBER($I25)),"◆","")</f>
        <v/>
      </c>
      <c r="FS25" s="57" t="str">
        <f aca="false">IF(AND(FS$7=$I25,ISNUMBER($I25)),"◆","")</f>
        <v/>
      </c>
      <c r="FT25" s="57" t="str">
        <f aca="false">IF(AND(FT$7=$I25,ISNUMBER($I25)),"◆","")</f>
        <v/>
      </c>
      <c r="FU25" s="57" t="str">
        <f aca="false">IF(AND(FU$7=$I25,ISNUMBER($I25)),"◆","")</f>
        <v/>
      </c>
      <c r="FV25" s="57" t="str">
        <f aca="false">IF(AND(FV$7=$I25,ISNUMBER($I25)),"◆","")</f>
        <v/>
      </c>
    </row>
    <row r="26" customFormat="false" ht="21.75" hidden="false" customHeight="true" outlineLevel="0" collapsed="false">
      <c r="A26" s="45" t="s">
        <v>79</v>
      </c>
      <c r="B26" s="45"/>
      <c r="C26" s="45"/>
      <c r="D26" s="45"/>
      <c r="E26" s="45"/>
      <c r="F26" s="46" t="s">
        <v>76</v>
      </c>
      <c r="G26" s="47" t="n">
        <f aca="false">MIN(制作工程表!G22:G26)</f>
        <v>46395</v>
      </c>
      <c r="H26" s="47" t="n">
        <f aca="false">MAX(制作工程表!H22:H26)</f>
        <v>46434</v>
      </c>
      <c r="I26" s="47" t="n">
        <f aca="false">IF(MAX(制作工程表!I22:I26)=0,"—",MAX(制作工程表!I22:I26))</f>
        <v>46427</v>
      </c>
      <c r="J26" s="48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</row>
    <row r="27" customFormat="false" ht="25.5" hidden="false" customHeight="true" outlineLevel="0" collapsed="false">
      <c r="A27" s="50" t="str">
        <f aca="false">制作工程表!A22</f>
        <v>T14</v>
      </c>
      <c r="B27" s="51" t="str">
        <f aca="false">制作工程表!B22</f>
        <v>素材整理</v>
      </c>
      <c r="C27" s="52" t="str">
        <f aca="false">制作工程表!C22</f>
        <v>写真選定・レタッチ・CG素材の手配</v>
      </c>
      <c r="D27" s="53" t="str">
        <f aca="false">制作工程表!D22</f>
        <v>カメラマン・デザイナー</v>
      </c>
      <c r="E27" s="53" t="str">
        <f aca="false">制作工程表!E22</f>
        <v>—</v>
      </c>
      <c r="F27" s="54" t="str">
        <f aca="false">IF(制作工程表!B22="取材撮影","撮影",IF(OR(制作工程表!D22="広報窓口",制作工程表!D22="代表",制作工程表!D22="技術営業課",制作工程表!D22="品質管理課",制作工程表!D22="製造部"),"企業","制作"))</f>
        <v>制作</v>
      </c>
      <c r="G27" s="55" t="n">
        <f aca="false">制作工程表!G22</f>
        <v>46395</v>
      </c>
      <c r="H27" s="55" t="n">
        <f aca="false">制作工程表!H22</f>
        <v>46409</v>
      </c>
      <c r="I27" s="56" t="str">
        <f aca="false">制作工程表!I22</f>
        <v>—</v>
      </c>
      <c r="J27" s="51" t="str">
        <f aca="false">制作工程表!K22</f>
        <v>未着手</v>
      </c>
      <c r="K27" s="57" t="str">
        <f aca="false">IF(AND(K$7=$I27,ISNUMBER($I27)),"◆","")</f>
        <v/>
      </c>
      <c r="L27" s="57" t="str">
        <f aca="false">IF(AND(L$7=$I27,ISNUMBER($I27)),"◆","")</f>
        <v/>
      </c>
      <c r="M27" s="57" t="str">
        <f aca="false">IF(AND(M$7=$I27,ISNUMBER($I27)),"◆","")</f>
        <v/>
      </c>
      <c r="N27" s="57" t="str">
        <f aca="false">IF(AND(N$7=$I27,ISNUMBER($I27)),"◆","")</f>
        <v/>
      </c>
      <c r="O27" s="57" t="str">
        <f aca="false">IF(AND(O$7=$I27,ISNUMBER($I27)),"◆","")</f>
        <v/>
      </c>
      <c r="P27" s="57" t="str">
        <f aca="false">IF(AND(P$7=$I27,ISNUMBER($I27)),"◆","")</f>
        <v/>
      </c>
      <c r="Q27" s="57" t="str">
        <f aca="false">IF(AND(Q$7=$I27,ISNUMBER($I27)),"◆","")</f>
        <v/>
      </c>
      <c r="R27" s="57" t="str">
        <f aca="false">IF(AND(R$7=$I27,ISNUMBER($I27)),"◆","")</f>
        <v/>
      </c>
      <c r="S27" s="57" t="str">
        <f aca="false">IF(AND(S$7=$I27,ISNUMBER($I27)),"◆","")</f>
        <v/>
      </c>
      <c r="T27" s="57" t="str">
        <f aca="false">IF(AND(T$7=$I27,ISNUMBER($I27)),"◆","")</f>
        <v/>
      </c>
      <c r="U27" s="57" t="str">
        <f aca="false">IF(AND(U$7=$I27,ISNUMBER($I27)),"◆","")</f>
        <v/>
      </c>
      <c r="V27" s="57" t="str">
        <f aca="false">IF(AND(V$7=$I27,ISNUMBER($I27)),"◆","")</f>
        <v/>
      </c>
      <c r="W27" s="57" t="str">
        <f aca="false">IF(AND(W$7=$I27,ISNUMBER($I27)),"◆","")</f>
        <v/>
      </c>
      <c r="X27" s="57" t="str">
        <f aca="false">IF(AND(X$7=$I27,ISNUMBER($I27)),"◆","")</f>
        <v/>
      </c>
      <c r="Y27" s="57" t="str">
        <f aca="false">IF(AND(Y$7=$I27,ISNUMBER($I27)),"◆","")</f>
        <v/>
      </c>
      <c r="Z27" s="57" t="str">
        <f aca="false">IF(AND(Z$7=$I27,ISNUMBER($I27)),"◆","")</f>
        <v/>
      </c>
      <c r="AA27" s="57" t="str">
        <f aca="false">IF(AND(AA$7=$I27,ISNUMBER($I27)),"◆","")</f>
        <v/>
      </c>
      <c r="AB27" s="57" t="str">
        <f aca="false">IF(AND(AB$7=$I27,ISNUMBER($I27)),"◆","")</f>
        <v/>
      </c>
      <c r="AC27" s="57" t="str">
        <f aca="false">IF(AND(AC$7=$I27,ISNUMBER($I27)),"◆","")</f>
        <v/>
      </c>
      <c r="AD27" s="57" t="str">
        <f aca="false">IF(AND(AD$7=$I27,ISNUMBER($I27)),"◆","")</f>
        <v/>
      </c>
      <c r="AE27" s="57" t="str">
        <f aca="false">IF(AND(AE$7=$I27,ISNUMBER($I27)),"◆","")</f>
        <v/>
      </c>
      <c r="AF27" s="57" t="str">
        <f aca="false">IF(AND(AF$7=$I27,ISNUMBER($I27)),"◆","")</f>
        <v/>
      </c>
      <c r="AG27" s="57" t="str">
        <f aca="false">IF(AND(AG$7=$I27,ISNUMBER($I27)),"◆","")</f>
        <v/>
      </c>
      <c r="AH27" s="57" t="str">
        <f aca="false">IF(AND(AH$7=$I27,ISNUMBER($I27)),"◆","")</f>
        <v/>
      </c>
      <c r="AI27" s="57" t="str">
        <f aca="false">IF(AND(AI$7=$I27,ISNUMBER($I27)),"◆","")</f>
        <v/>
      </c>
      <c r="AJ27" s="57" t="str">
        <f aca="false">IF(AND(AJ$7=$I27,ISNUMBER($I27)),"◆","")</f>
        <v/>
      </c>
      <c r="AK27" s="57" t="str">
        <f aca="false">IF(AND(AK$7=$I27,ISNUMBER($I27)),"◆","")</f>
        <v/>
      </c>
      <c r="AL27" s="57" t="str">
        <f aca="false">IF(AND(AL$7=$I27,ISNUMBER($I27)),"◆","")</f>
        <v/>
      </c>
      <c r="AM27" s="57" t="str">
        <f aca="false">IF(AND(AM$7=$I27,ISNUMBER($I27)),"◆","")</f>
        <v/>
      </c>
      <c r="AN27" s="57" t="str">
        <f aca="false">IF(AND(AN$7=$I27,ISNUMBER($I27)),"◆","")</f>
        <v/>
      </c>
      <c r="AO27" s="57" t="str">
        <f aca="false">IF(AND(AO$7=$I27,ISNUMBER($I27)),"◆","")</f>
        <v/>
      </c>
      <c r="AP27" s="57" t="str">
        <f aca="false">IF(AND(AP$7=$I27,ISNUMBER($I27)),"◆","")</f>
        <v/>
      </c>
      <c r="AQ27" s="57" t="str">
        <f aca="false">IF(AND(AQ$7=$I27,ISNUMBER($I27)),"◆","")</f>
        <v/>
      </c>
      <c r="AR27" s="57" t="str">
        <f aca="false">IF(AND(AR$7=$I27,ISNUMBER($I27)),"◆","")</f>
        <v/>
      </c>
      <c r="AS27" s="57" t="str">
        <f aca="false">IF(AND(AS$7=$I27,ISNUMBER($I27)),"◆","")</f>
        <v/>
      </c>
      <c r="AT27" s="57" t="str">
        <f aca="false">IF(AND(AT$7=$I27,ISNUMBER($I27)),"◆","")</f>
        <v/>
      </c>
      <c r="AU27" s="57" t="str">
        <f aca="false">IF(AND(AU$7=$I27,ISNUMBER($I27)),"◆","")</f>
        <v/>
      </c>
      <c r="AV27" s="57" t="str">
        <f aca="false">IF(AND(AV$7=$I27,ISNUMBER($I27)),"◆","")</f>
        <v/>
      </c>
      <c r="AW27" s="57" t="str">
        <f aca="false">IF(AND(AW$7=$I27,ISNUMBER($I27)),"◆","")</f>
        <v/>
      </c>
      <c r="AX27" s="57" t="str">
        <f aca="false">IF(AND(AX$7=$I27,ISNUMBER($I27)),"◆","")</f>
        <v/>
      </c>
      <c r="AY27" s="57" t="str">
        <f aca="false">IF(AND(AY$7=$I27,ISNUMBER($I27)),"◆","")</f>
        <v/>
      </c>
      <c r="AZ27" s="57" t="str">
        <f aca="false">IF(AND(AZ$7=$I27,ISNUMBER($I27)),"◆","")</f>
        <v/>
      </c>
      <c r="BA27" s="57" t="str">
        <f aca="false">IF(AND(BA$7=$I27,ISNUMBER($I27)),"◆","")</f>
        <v/>
      </c>
      <c r="BB27" s="57" t="str">
        <f aca="false">IF(AND(BB$7=$I27,ISNUMBER($I27)),"◆","")</f>
        <v/>
      </c>
      <c r="BC27" s="57" t="str">
        <f aca="false">IF(AND(BC$7=$I27,ISNUMBER($I27)),"◆","")</f>
        <v/>
      </c>
      <c r="BD27" s="57" t="str">
        <f aca="false">IF(AND(BD$7=$I27,ISNUMBER($I27)),"◆","")</f>
        <v/>
      </c>
      <c r="BE27" s="57" t="str">
        <f aca="false">IF(AND(BE$7=$I27,ISNUMBER($I27)),"◆","")</f>
        <v/>
      </c>
      <c r="BF27" s="57" t="str">
        <f aca="false">IF(AND(BF$7=$I27,ISNUMBER($I27)),"◆","")</f>
        <v/>
      </c>
      <c r="BG27" s="57" t="str">
        <f aca="false">IF(AND(BG$7=$I27,ISNUMBER($I27)),"◆","")</f>
        <v/>
      </c>
      <c r="BH27" s="57" t="str">
        <f aca="false">IF(AND(BH$7=$I27,ISNUMBER($I27)),"◆","")</f>
        <v/>
      </c>
      <c r="BI27" s="57" t="str">
        <f aca="false">IF(AND(BI$7=$I27,ISNUMBER($I27)),"◆","")</f>
        <v/>
      </c>
      <c r="BJ27" s="57" t="str">
        <f aca="false">IF(AND(BJ$7=$I27,ISNUMBER($I27)),"◆","")</f>
        <v/>
      </c>
      <c r="BK27" s="57" t="str">
        <f aca="false">IF(AND(BK$7=$I27,ISNUMBER($I27)),"◆","")</f>
        <v/>
      </c>
      <c r="BL27" s="57" t="str">
        <f aca="false">IF(AND(BL$7=$I27,ISNUMBER($I27)),"◆","")</f>
        <v/>
      </c>
      <c r="BM27" s="57" t="str">
        <f aca="false">IF(AND(BM$7=$I27,ISNUMBER($I27)),"◆","")</f>
        <v/>
      </c>
      <c r="BN27" s="57" t="str">
        <f aca="false">IF(AND(BN$7=$I27,ISNUMBER($I27)),"◆","")</f>
        <v/>
      </c>
      <c r="BO27" s="57" t="str">
        <f aca="false">IF(AND(BO$7=$I27,ISNUMBER($I27)),"◆","")</f>
        <v/>
      </c>
      <c r="BP27" s="57" t="str">
        <f aca="false">IF(AND(BP$7=$I27,ISNUMBER($I27)),"◆","")</f>
        <v/>
      </c>
      <c r="BQ27" s="57" t="str">
        <f aca="false">IF(AND(BQ$7=$I27,ISNUMBER($I27)),"◆","")</f>
        <v/>
      </c>
      <c r="BR27" s="57" t="str">
        <f aca="false">IF(AND(BR$7=$I27,ISNUMBER($I27)),"◆","")</f>
        <v/>
      </c>
      <c r="BS27" s="57" t="str">
        <f aca="false">IF(AND(BS$7=$I27,ISNUMBER($I27)),"◆","")</f>
        <v/>
      </c>
      <c r="BT27" s="57" t="str">
        <f aca="false">IF(AND(BT$7=$I27,ISNUMBER($I27)),"◆","")</f>
        <v/>
      </c>
      <c r="BU27" s="57" t="str">
        <f aca="false">IF(AND(BU$7=$I27,ISNUMBER($I27)),"◆","")</f>
        <v/>
      </c>
      <c r="BV27" s="57" t="str">
        <f aca="false">IF(AND(BV$7=$I27,ISNUMBER($I27)),"◆","")</f>
        <v/>
      </c>
      <c r="BW27" s="57" t="str">
        <f aca="false">IF(AND(BW$7=$I27,ISNUMBER($I27)),"◆","")</f>
        <v/>
      </c>
      <c r="BX27" s="57" t="str">
        <f aca="false">IF(AND(BX$7=$I27,ISNUMBER($I27)),"◆","")</f>
        <v/>
      </c>
      <c r="BY27" s="57" t="str">
        <f aca="false">IF(AND(BY$7=$I27,ISNUMBER($I27)),"◆","")</f>
        <v/>
      </c>
      <c r="BZ27" s="57" t="str">
        <f aca="false">IF(AND(BZ$7=$I27,ISNUMBER($I27)),"◆","")</f>
        <v/>
      </c>
      <c r="CA27" s="57" t="str">
        <f aca="false">IF(AND(CA$7=$I27,ISNUMBER($I27)),"◆","")</f>
        <v/>
      </c>
      <c r="CB27" s="57" t="str">
        <f aca="false">IF(AND(CB$7=$I27,ISNUMBER($I27)),"◆","")</f>
        <v/>
      </c>
      <c r="CC27" s="57" t="str">
        <f aca="false">IF(AND(CC$7=$I27,ISNUMBER($I27)),"◆","")</f>
        <v/>
      </c>
      <c r="CD27" s="57" t="str">
        <f aca="false">IF(AND(CD$7=$I27,ISNUMBER($I27)),"◆","")</f>
        <v/>
      </c>
      <c r="CE27" s="57" t="str">
        <f aca="false">IF(AND(CE$7=$I27,ISNUMBER($I27)),"◆","")</f>
        <v/>
      </c>
      <c r="CF27" s="57" t="str">
        <f aca="false">IF(AND(CF$7=$I27,ISNUMBER($I27)),"◆","")</f>
        <v/>
      </c>
      <c r="CG27" s="57" t="str">
        <f aca="false">IF(AND(CG$7=$I27,ISNUMBER($I27)),"◆","")</f>
        <v/>
      </c>
      <c r="CH27" s="57" t="str">
        <f aca="false">IF(AND(CH$7=$I27,ISNUMBER($I27)),"◆","")</f>
        <v/>
      </c>
      <c r="CI27" s="57" t="str">
        <f aca="false">IF(AND(CI$7=$I27,ISNUMBER($I27)),"◆","")</f>
        <v/>
      </c>
      <c r="CJ27" s="57" t="str">
        <f aca="false">IF(AND(CJ$7=$I27,ISNUMBER($I27)),"◆","")</f>
        <v/>
      </c>
      <c r="CK27" s="57" t="str">
        <f aca="false">IF(AND(CK$7=$I27,ISNUMBER($I27)),"◆","")</f>
        <v/>
      </c>
      <c r="CL27" s="57" t="str">
        <f aca="false">IF(AND(CL$7=$I27,ISNUMBER($I27)),"◆","")</f>
        <v/>
      </c>
      <c r="CM27" s="57" t="str">
        <f aca="false">IF(AND(CM$7=$I27,ISNUMBER($I27)),"◆","")</f>
        <v/>
      </c>
      <c r="CN27" s="57" t="str">
        <f aca="false">IF(AND(CN$7=$I27,ISNUMBER($I27)),"◆","")</f>
        <v/>
      </c>
      <c r="CO27" s="57" t="str">
        <f aca="false">IF(AND(CO$7=$I27,ISNUMBER($I27)),"◆","")</f>
        <v/>
      </c>
      <c r="CP27" s="57" t="str">
        <f aca="false">IF(AND(CP$7=$I27,ISNUMBER($I27)),"◆","")</f>
        <v/>
      </c>
      <c r="CQ27" s="57" t="str">
        <f aca="false">IF(AND(CQ$7=$I27,ISNUMBER($I27)),"◆","")</f>
        <v/>
      </c>
      <c r="CR27" s="57" t="str">
        <f aca="false">IF(AND(CR$7=$I27,ISNUMBER($I27)),"◆","")</f>
        <v/>
      </c>
      <c r="CS27" s="57" t="str">
        <f aca="false">IF(AND(CS$7=$I27,ISNUMBER($I27)),"◆","")</f>
        <v/>
      </c>
      <c r="CT27" s="57" t="str">
        <f aca="false">IF(AND(CT$7=$I27,ISNUMBER($I27)),"◆","")</f>
        <v/>
      </c>
      <c r="CU27" s="57" t="str">
        <f aca="false">IF(AND(CU$7=$I27,ISNUMBER($I27)),"◆","")</f>
        <v/>
      </c>
      <c r="CV27" s="57" t="str">
        <f aca="false">IF(AND(CV$7=$I27,ISNUMBER($I27)),"◆","")</f>
        <v/>
      </c>
      <c r="CW27" s="57" t="str">
        <f aca="false">IF(AND(CW$7=$I27,ISNUMBER($I27)),"◆","")</f>
        <v/>
      </c>
      <c r="CX27" s="57" t="str">
        <f aca="false">IF(AND(CX$7=$I27,ISNUMBER($I27)),"◆","")</f>
        <v/>
      </c>
      <c r="CY27" s="57" t="str">
        <f aca="false">IF(AND(CY$7=$I27,ISNUMBER($I27)),"◆","")</f>
        <v/>
      </c>
      <c r="CZ27" s="57" t="str">
        <f aca="false">IF(AND(CZ$7=$I27,ISNUMBER($I27)),"◆","")</f>
        <v/>
      </c>
      <c r="DA27" s="57" t="str">
        <f aca="false">IF(AND(DA$7=$I27,ISNUMBER($I27)),"◆","")</f>
        <v/>
      </c>
      <c r="DB27" s="57" t="str">
        <f aca="false">IF(AND(DB$7=$I27,ISNUMBER($I27)),"◆","")</f>
        <v/>
      </c>
      <c r="DC27" s="57" t="str">
        <f aca="false">IF(AND(DC$7=$I27,ISNUMBER($I27)),"◆","")</f>
        <v/>
      </c>
      <c r="DD27" s="57" t="str">
        <f aca="false">IF(AND(DD$7=$I27,ISNUMBER($I27)),"◆","")</f>
        <v/>
      </c>
      <c r="DE27" s="57" t="str">
        <f aca="false">IF(AND(DE$7=$I27,ISNUMBER($I27)),"◆","")</f>
        <v/>
      </c>
      <c r="DF27" s="57" t="str">
        <f aca="false">IF(AND(DF$7=$I27,ISNUMBER($I27)),"◆","")</f>
        <v/>
      </c>
      <c r="DG27" s="57" t="str">
        <f aca="false">IF(AND(DG$7=$I27,ISNUMBER($I27)),"◆","")</f>
        <v/>
      </c>
      <c r="DH27" s="57" t="str">
        <f aca="false">IF(AND(DH$7=$I27,ISNUMBER($I27)),"◆","")</f>
        <v/>
      </c>
      <c r="DI27" s="57" t="str">
        <f aca="false">IF(AND(DI$7=$I27,ISNUMBER($I27)),"◆","")</f>
        <v/>
      </c>
      <c r="DJ27" s="57" t="str">
        <f aca="false">IF(AND(DJ$7=$I27,ISNUMBER($I27)),"◆","")</f>
        <v/>
      </c>
      <c r="DK27" s="57" t="str">
        <f aca="false">IF(AND(DK$7=$I27,ISNUMBER($I27)),"◆","")</f>
        <v/>
      </c>
      <c r="DL27" s="57" t="str">
        <f aca="false">IF(AND(DL$7=$I27,ISNUMBER($I27)),"◆","")</f>
        <v/>
      </c>
      <c r="DM27" s="57" t="str">
        <f aca="false">IF(AND(DM$7=$I27,ISNUMBER($I27)),"◆","")</f>
        <v/>
      </c>
      <c r="DN27" s="57" t="str">
        <f aca="false">IF(AND(DN$7=$I27,ISNUMBER($I27)),"◆","")</f>
        <v/>
      </c>
      <c r="DO27" s="57" t="str">
        <f aca="false">IF(AND(DO$7=$I27,ISNUMBER($I27)),"◆","")</f>
        <v/>
      </c>
      <c r="DP27" s="57" t="str">
        <f aca="false">IF(AND(DP$7=$I27,ISNUMBER($I27)),"◆","")</f>
        <v/>
      </c>
      <c r="DQ27" s="57" t="str">
        <f aca="false">IF(AND(DQ$7=$I27,ISNUMBER($I27)),"◆","")</f>
        <v/>
      </c>
      <c r="DR27" s="57" t="str">
        <f aca="false">IF(AND(DR$7=$I27,ISNUMBER($I27)),"◆","")</f>
        <v/>
      </c>
      <c r="DS27" s="57" t="str">
        <f aca="false">IF(AND(DS$7=$I27,ISNUMBER($I27)),"◆","")</f>
        <v/>
      </c>
      <c r="DT27" s="57" t="str">
        <f aca="false">IF(AND(DT$7=$I27,ISNUMBER($I27)),"◆","")</f>
        <v/>
      </c>
      <c r="DU27" s="57" t="str">
        <f aca="false">IF(AND(DU$7=$I27,ISNUMBER($I27)),"◆","")</f>
        <v/>
      </c>
      <c r="DV27" s="57" t="str">
        <f aca="false">IF(AND(DV$7=$I27,ISNUMBER($I27)),"◆","")</f>
        <v/>
      </c>
      <c r="DW27" s="57" t="str">
        <f aca="false">IF(AND(DW$7=$I27,ISNUMBER($I27)),"◆","")</f>
        <v/>
      </c>
      <c r="DX27" s="57" t="str">
        <f aca="false">IF(AND(DX$7=$I27,ISNUMBER($I27)),"◆","")</f>
        <v/>
      </c>
      <c r="DY27" s="57" t="str">
        <f aca="false">IF(AND(DY$7=$I27,ISNUMBER($I27)),"◆","")</f>
        <v/>
      </c>
      <c r="DZ27" s="57" t="str">
        <f aca="false">IF(AND(DZ$7=$I27,ISNUMBER($I27)),"◆","")</f>
        <v/>
      </c>
      <c r="EA27" s="57" t="str">
        <f aca="false">IF(AND(EA$7=$I27,ISNUMBER($I27)),"◆","")</f>
        <v/>
      </c>
      <c r="EB27" s="57" t="str">
        <f aca="false">IF(AND(EB$7=$I27,ISNUMBER($I27)),"◆","")</f>
        <v/>
      </c>
      <c r="EC27" s="57" t="str">
        <f aca="false">IF(AND(EC$7=$I27,ISNUMBER($I27)),"◆","")</f>
        <v/>
      </c>
      <c r="ED27" s="57" t="str">
        <f aca="false">IF(AND(ED$7=$I27,ISNUMBER($I27)),"◆","")</f>
        <v/>
      </c>
      <c r="EE27" s="57" t="str">
        <f aca="false">IF(AND(EE$7=$I27,ISNUMBER($I27)),"◆","")</f>
        <v/>
      </c>
      <c r="EF27" s="57" t="str">
        <f aca="false">IF(AND(EF$7=$I27,ISNUMBER($I27)),"◆","")</f>
        <v/>
      </c>
      <c r="EG27" s="57" t="str">
        <f aca="false">IF(AND(EG$7=$I27,ISNUMBER($I27)),"◆","")</f>
        <v/>
      </c>
      <c r="EH27" s="57" t="str">
        <f aca="false">IF(AND(EH$7=$I27,ISNUMBER($I27)),"◆","")</f>
        <v/>
      </c>
      <c r="EI27" s="57" t="str">
        <f aca="false">IF(AND(EI$7=$I27,ISNUMBER($I27)),"◆","")</f>
        <v/>
      </c>
      <c r="EJ27" s="57" t="str">
        <f aca="false">IF(AND(EJ$7=$I27,ISNUMBER($I27)),"◆","")</f>
        <v/>
      </c>
      <c r="EK27" s="57" t="str">
        <f aca="false">IF(AND(EK$7=$I27,ISNUMBER($I27)),"◆","")</f>
        <v/>
      </c>
      <c r="EL27" s="57" t="str">
        <f aca="false">IF(AND(EL$7=$I27,ISNUMBER($I27)),"◆","")</f>
        <v/>
      </c>
      <c r="EM27" s="57" t="str">
        <f aca="false">IF(AND(EM$7=$I27,ISNUMBER($I27)),"◆","")</f>
        <v/>
      </c>
      <c r="EN27" s="57" t="str">
        <f aca="false">IF(AND(EN$7=$I27,ISNUMBER($I27)),"◆","")</f>
        <v/>
      </c>
      <c r="EO27" s="57" t="str">
        <f aca="false">IF(AND(EO$7=$I27,ISNUMBER($I27)),"◆","")</f>
        <v/>
      </c>
      <c r="EP27" s="57" t="str">
        <f aca="false">IF(AND(EP$7=$I27,ISNUMBER($I27)),"◆","")</f>
        <v/>
      </c>
      <c r="EQ27" s="57" t="str">
        <f aca="false">IF(AND(EQ$7=$I27,ISNUMBER($I27)),"◆","")</f>
        <v/>
      </c>
      <c r="ER27" s="57" t="str">
        <f aca="false">IF(AND(ER$7=$I27,ISNUMBER($I27)),"◆","")</f>
        <v/>
      </c>
      <c r="ES27" s="57" t="str">
        <f aca="false">IF(AND(ES$7=$I27,ISNUMBER($I27)),"◆","")</f>
        <v/>
      </c>
      <c r="ET27" s="57" t="str">
        <f aca="false">IF(AND(ET$7=$I27,ISNUMBER($I27)),"◆","")</f>
        <v/>
      </c>
      <c r="EU27" s="57" t="str">
        <f aca="false">IF(AND(EU$7=$I27,ISNUMBER($I27)),"◆","")</f>
        <v/>
      </c>
      <c r="EV27" s="57" t="str">
        <f aca="false">IF(AND(EV$7=$I27,ISNUMBER($I27)),"◆","")</f>
        <v/>
      </c>
      <c r="EW27" s="57" t="str">
        <f aca="false">IF(AND(EW$7=$I27,ISNUMBER($I27)),"◆","")</f>
        <v/>
      </c>
      <c r="EX27" s="57" t="str">
        <f aca="false">IF(AND(EX$7=$I27,ISNUMBER($I27)),"◆","")</f>
        <v/>
      </c>
      <c r="EY27" s="57" t="str">
        <f aca="false">IF(AND(EY$7=$I27,ISNUMBER($I27)),"◆","")</f>
        <v/>
      </c>
      <c r="EZ27" s="57" t="str">
        <f aca="false">IF(AND(EZ$7=$I27,ISNUMBER($I27)),"◆","")</f>
        <v/>
      </c>
      <c r="FA27" s="57" t="str">
        <f aca="false">IF(AND(FA$7=$I27,ISNUMBER($I27)),"◆","")</f>
        <v/>
      </c>
      <c r="FB27" s="57" t="str">
        <f aca="false">IF(AND(FB$7=$I27,ISNUMBER($I27)),"◆","")</f>
        <v/>
      </c>
      <c r="FC27" s="57" t="str">
        <f aca="false">IF(AND(FC$7=$I27,ISNUMBER($I27)),"◆","")</f>
        <v/>
      </c>
      <c r="FD27" s="57" t="str">
        <f aca="false">IF(AND(FD$7=$I27,ISNUMBER($I27)),"◆","")</f>
        <v/>
      </c>
      <c r="FE27" s="57" t="str">
        <f aca="false">IF(AND(FE$7=$I27,ISNUMBER($I27)),"◆","")</f>
        <v/>
      </c>
      <c r="FF27" s="57" t="str">
        <f aca="false">IF(AND(FF$7=$I27,ISNUMBER($I27)),"◆","")</f>
        <v/>
      </c>
      <c r="FG27" s="57" t="str">
        <f aca="false">IF(AND(FG$7=$I27,ISNUMBER($I27)),"◆","")</f>
        <v/>
      </c>
      <c r="FH27" s="57" t="str">
        <f aca="false">IF(AND(FH$7=$I27,ISNUMBER($I27)),"◆","")</f>
        <v/>
      </c>
      <c r="FI27" s="57" t="str">
        <f aca="false">IF(AND(FI$7=$I27,ISNUMBER($I27)),"◆","")</f>
        <v/>
      </c>
      <c r="FJ27" s="57" t="str">
        <f aca="false">IF(AND(FJ$7=$I27,ISNUMBER($I27)),"◆","")</f>
        <v/>
      </c>
      <c r="FK27" s="57" t="str">
        <f aca="false">IF(AND(FK$7=$I27,ISNUMBER($I27)),"◆","")</f>
        <v/>
      </c>
      <c r="FL27" s="57" t="str">
        <f aca="false">IF(AND(FL$7=$I27,ISNUMBER($I27)),"◆","")</f>
        <v/>
      </c>
      <c r="FM27" s="57" t="str">
        <f aca="false">IF(AND(FM$7=$I27,ISNUMBER($I27)),"◆","")</f>
        <v/>
      </c>
      <c r="FN27" s="57" t="str">
        <f aca="false">IF(AND(FN$7=$I27,ISNUMBER($I27)),"◆","")</f>
        <v/>
      </c>
      <c r="FO27" s="57" t="str">
        <f aca="false">IF(AND(FO$7=$I27,ISNUMBER($I27)),"◆","")</f>
        <v/>
      </c>
      <c r="FP27" s="57" t="str">
        <f aca="false">IF(AND(FP$7=$I27,ISNUMBER($I27)),"◆","")</f>
        <v/>
      </c>
      <c r="FQ27" s="57" t="str">
        <f aca="false">IF(AND(FQ$7=$I27,ISNUMBER($I27)),"◆","")</f>
        <v/>
      </c>
      <c r="FR27" s="57" t="str">
        <f aca="false">IF(AND(FR$7=$I27,ISNUMBER($I27)),"◆","")</f>
        <v/>
      </c>
      <c r="FS27" s="57" t="str">
        <f aca="false">IF(AND(FS$7=$I27,ISNUMBER($I27)),"◆","")</f>
        <v/>
      </c>
      <c r="FT27" s="57" t="str">
        <f aca="false">IF(AND(FT$7=$I27,ISNUMBER($I27)),"◆","")</f>
        <v/>
      </c>
      <c r="FU27" s="57" t="str">
        <f aca="false">IF(AND(FU$7=$I27,ISNUMBER($I27)),"◆","")</f>
        <v/>
      </c>
      <c r="FV27" s="57" t="str">
        <f aca="false">IF(AND(FV$7=$I27,ISNUMBER($I27)),"◆","")</f>
        <v/>
      </c>
    </row>
    <row r="28" customFormat="false" ht="25.5" hidden="false" customHeight="true" outlineLevel="0" collapsed="false">
      <c r="A28" s="50" t="str">
        <f aca="false">制作工程表!A23</f>
        <v>T15</v>
      </c>
      <c r="B28" s="51" t="str">
        <f aca="false">制作工程表!B23</f>
        <v>執筆</v>
      </c>
      <c r="C28" s="52" t="str">
        <f aca="false">制作工程表!C23</f>
        <v>全13ページの原稿作成</v>
      </c>
      <c r="D28" s="53" t="str">
        <f aca="false">制作工程表!D23</f>
        <v>ライター</v>
      </c>
      <c r="E28" s="53" t="str">
        <f aca="false">制作工程表!E23</f>
        <v>—</v>
      </c>
      <c r="F28" s="54" t="str">
        <f aca="false">IF(制作工程表!B23="取材撮影","撮影",IF(OR(制作工程表!D23="広報窓口",制作工程表!D23="代表",制作工程表!D23="技術営業課",制作工程表!D23="品質管理課",制作工程表!D23="製造部"),"企業","制作"))</f>
        <v>制作</v>
      </c>
      <c r="G28" s="55" t="n">
        <f aca="false">制作工程表!G23</f>
        <v>46395</v>
      </c>
      <c r="H28" s="55" t="n">
        <f aca="false">制作工程表!H23</f>
        <v>46416</v>
      </c>
      <c r="I28" s="56" t="str">
        <f aca="false">制作工程表!I23</f>
        <v>—</v>
      </c>
      <c r="J28" s="51" t="str">
        <f aca="false">制作工程表!K23</f>
        <v>未着手</v>
      </c>
      <c r="K28" s="57" t="str">
        <f aca="false">IF(AND(K$7=$I28,ISNUMBER($I28)),"◆","")</f>
        <v/>
      </c>
      <c r="L28" s="57" t="str">
        <f aca="false">IF(AND(L$7=$I28,ISNUMBER($I28)),"◆","")</f>
        <v/>
      </c>
      <c r="M28" s="57" t="str">
        <f aca="false">IF(AND(M$7=$I28,ISNUMBER($I28)),"◆","")</f>
        <v/>
      </c>
      <c r="N28" s="57" t="str">
        <f aca="false">IF(AND(N$7=$I28,ISNUMBER($I28)),"◆","")</f>
        <v/>
      </c>
      <c r="O28" s="57" t="str">
        <f aca="false">IF(AND(O$7=$I28,ISNUMBER($I28)),"◆","")</f>
        <v/>
      </c>
      <c r="P28" s="57" t="str">
        <f aca="false">IF(AND(P$7=$I28,ISNUMBER($I28)),"◆","")</f>
        <v/>
      </c>
      <c r="Q28" s="57" t="str">
        <f aca="false">IF(AND(Q$7=$I28,ISNUMBER($I28)),"◆","")</f>
        <v/>
      </c>
      <c r="R28" s="57" t="str">
        <f aca="false">IF(AND(R$7=$I28,ISNUMBER($I28)),"◆","")</f>
        <v/>
      </c>
      <c r="S28" s="57" t="str">
        <f aca="false">IF(AND(S$7=$I28,ISNUMBER($I28)),"◆","")</f>
        <v/>
      </c>
      <c r="T28" s="57" t="str">
        <f aca="false">IF(AND(T$7=$I28,ISNUMBER($I28)),"◆","")</f>
        <v/>
      </c>
      <c r="U28" s="57" t="str">
        <f aca="false">IF(AND(U$7=$I28,ISNUMBER($I28)),"◆","")</f>
        <v/>
      </c>
      <c r="V28" s="57" t="str">
        <f aca="false">IF(AND(V$7=$I28,ISNUMBER($I28)),"◆","")</f>
        <v/>
      </c>
      <c r="W28" s="57" t="str">
        <f aca="false">IF(AND(W$7=$I28,ISNUMBER($I28)),"◆","")</f>
        <v/>
      </c>
      <c r="X28" s="57" t="str">
        <f aca="false">IF(AND(X$7=$I28,ISNUMBER($I28)),"◆","")</f>
        <v/>
      </c>
      <c r="Y28" s="57" t="str">
        <f aca="false">IF(AND(Y$7=$I28,ISNUMBER($I28)),"◆","")</f>
        <v/>
      </c>
      <c r="Z28" s="57" t="str">
        <f aca="false">IF(AND(Z$7=$I28,ISNUMBER($I28)),"◆","")</f>
        <v/>
      </c>
      <c r="AA28" s="57" t="str">
        <f aca="false">IF(AND(AA$7=$I28,ISNUMBER($I28)),"◆","")</f>
        <v/>
      </c>
      <c r="AB28" s="57" t="str">
        <f aca="false">IF(AND(AB$7=$I28,ISNUMBER($I28)),"◆","")</f>
        <v/>
      </c>
      <c r="AC28" s="57" t="str">
        <f aca="false">IF(AND(AC$7=$I28,ISNUMBER($I28)),"◆","")</f>
        <v/>
      </c>
      <c r="AD28" s="57" t="str">
        <f aca="false">IF(AND(AD$7=$I28,ISNUMBER($I28)),"◆","")</f>
        <v/>
      </c>
      <c r="AE28" s="57" t="str">
        <f aca="false">IF(AND(AE$7=$I28,ISNUMBER($I28)),"◆","")</f>
        <v/>
      </c>
      <c r="AF28" s="57" t="str">
        <f aca="false">IF(AND(AF$7=$I28,ISNUMBER($I28)),"◆","")</f>
        <v/>
      </c>
      <c r="AG28" s="57" t="str">
        <f aca="false">IF(AND(AG$7=$I28,ISNUMBER($I28)),"◆","")</f>
        <v/>
      </c>
      <c r="AH28" s="57" t="str">
        <f aca="false">IF(AND(AH$7=$I28,ISNUMBER($I28)),"◆","")</f>
        <v/>
      </c>
      <c r="AI28" s="57" t="str">
        <f aca="false">IF(AND(AI$7=$I28,ISNUMBER($I28)),"◆","")</f>
        <v/>
      </c>
      <c r="AJ28" s="57" t="str">
        <f aca="false">IF(AND(AJ$7=$I28,ISNUMBER($I28)),"◆","")</f>
        <v/>
      </c>
      <c r="AK28" s="57" t="str">
        <f aca="false">IF(AND(AK$7=$I28,ISNUMBER($I28)),"◆","")</f>
        <v/>
      </c>
      <c r="AL28" s="57" t="str">
        <f aca="false">IF(AND(AL$7=$I28,ISNUMBER($I28)),"◆","")</f>
        <v/>
      </c>
      <c r="AM28" s="57" t="str">
        <f aca="false">IF(AND(AM$7=$I28,ISNUMBER($I28)),"◆","")</f>
        <v/>
      </c>
      <c r="AN28" s="57" t="str">
        <f aca="false">IF(AND(AN$7=$I28,ISNUMBER($I28)),"◆","")</f>
        <v/>
      </c>
      <c r="AO28" s="57" t="str">
        <f aca="false">IF(AND(AO$7=$I28,ISNUMBER($I28)),"◆","")</f>
        <v/>
      </c>
      <c r="AP28" s="57" t="str">
        <f aca="false">IF(AND(AP$7=$I28,ISNUMBER($I28)),"◆","")</f>
        <v/>
      </c>
      <c r="AQ28" s="57" t="str">
        <f aca="false">IF(AND(AQ$7=$I28,ISNUMBER($I28)),"◆","")</f>
        <v/>
      </c>
      <c r="AR28" s="57" t="str">
        <f aca="false">IF(AND(AR$7=$I28,ISNUMBER($I28)),"◆","")</f>
        <v/>
      </c>
      <c r="AS28" s="57" t="str">
        <f aca="false">IF(AND(AS$7=$I28,ISNUMBER($I28)),"◆","")</f>
        <v/>
      </c>
      <c r="AT28" s="57" t="str">
        <f aca="false">IF(AND(AT$7=$I28,ISNUMBER($I28)),"◆","")</f>
        <v/>
      </c>
      <c r="AU28" s="57" t="str">
        <f aca="false">IF(AND(AU$7=$I28,ISNUMBER($I28)),"◆","")</f>
        <v/>
      </c>
      <c r="AV28" s="57" t="str">
        <f aca="false">IF(AND(AV$7=$I28,ISNUMBER($I28)),"◆","")</f>
        <v/>
      </c>
      <c r="AW28" s="57" t="str">
        <f aca="false">IF(AND(AW$7=$I28,ISNUMBER($I28)),"◆","")</f>
        <v/>
      </c>
      <c r="AX28" s="57" t="str">
        <f aca="false">IF(AND(AX$7=$I28,ISNUMBER($I28)),"◆","")</f>
        <v/>
      </c>
      <c r="AY28" s="57" t="str">
        <f aca="false">IF(AND(AY$7=$I28,ISNUMBER($I28)),"◆","")</f>
        <v/>
      </c>
      <c r="AZ28" s="57" t="str">
        <f aca="false">IF(AND(AZ$7=$I28,ISNUMBER($I28)),"◆","")</f>
        <v/>
      </c>
      <c r="BA28" s="57" t="str">
        <f aca="false">IF(AND(BA$7=$I28,ISNUMBER($I28)),"◆","")</f>
        <v/>
      </c>
      <c r="BB28" s="57" t="str">
        <f aca="false">IF(AND(BB$7=$I28,ISNUMBER($I28)),"◆","")</f>
        <v/>
      </c>
      <c r="BC28" s="57" t="str">
        <f aca="false">IF(AND(BC$7=$I28,ISNUMBER($I28)),"◆","")</f>
        <v/>
      </c>
      <c r="BD28" s="57" t="str">
        <f aca="false">IF(AND(BD$7=$I28,ISNUMBER($I28)),"◆","")</f>
        <v/>
      </c>
      <c r="BE28" s="57" t="str">
        <f aca="false">IF(AND(BE$7=$I28,ISNUMBER($I28)),"◆","")</f>
        <v/>
      </c>
      <c r="BF28" s="57" t="str">
        <f aca="false">IF(AND(BF$7=$I28,ISNUMBER($I28)),"◆","")</f>
        <v/>
      </c>
      <c r="BG28" s="57" t="str">
        <f aca="false">IF(AND(BG$7=$I28,ISNUMBER($I28)),"◆","")</f>
        <v/>
      </c>
      <c r="BH28" s="57" t="str">
        <f aca="false">IF(AND(BH$7=$I28,ISNUMBER($I28)),"◆","")</f>
        <v/>
      </c>
      <c r="BI28" s="57" t="str">
        <f aca="false">IF(AND(BI$7=$I28,ISNUMBER($I28)),"◆","")</f>
        <v/>
      </c>
      <c r="BJ28" s="57" t="str">
        <f aca="false">IF(AND(BJ$7=$I28,ISNUMBER($I28)),"◆","")</f>
        <v/>
      </c>
      <c r="BK28" s="57" t="str">
        <f aca="false">IF(AND(BK$7=$I28,ISNUMBER($I28)),"◆","")</f>
        <v/>
      </c>
      <c r="BL28" s="57" t="str">
        <f aca="false">IF(AND(BL$7=$I28,ISNUMBER($I28)),"◆","")</f>
        <v/>
      </c>
      <c r="BM28" s="57" t="str">
        <f aca="false">IF(AND(BM$7=$I28,ISNUMBER($I28)),"◆","")</f>
        <v/>
      </c>
      <c r="BN28" s="57" t="str">
        <f aca="false">IF(AND(BN$7=$I28,ISNUMBER($I28)),"◆","")</f>
        <v/>
      </c>
      <c r="BO28" s="57" t="str">
        <f aca="false">IF(AND(BO$7=$I28,ISNUMBER($I28)),"◆","")</f>
        <v/>
      </c>
      <c r="BP28" s="57" t="str">
        <f aca="false">IF(AND(BP$7=$I28,ISNUMBER($I28)),"◆","")</f>
        <v/>
      </c>
      <c r="BQ28" s="57" t="str">
        <f aca="false">IF(AND(BQ$7=$I28,ISNUMBER($I28)),"◆","")</f>
        <v/>
      </c>
      <c r="BR28" s="57" t="str">
        <f aca="false">IF(AND(BR$7=$I28,ISNUMBER($I28)),"◆","")</f>
        <v/>
      </c>
      <c r="BS28" s="57" t="str">
        <f aca="false">IF(AND(BS$7=$I28,ISNUMBER($I28)),"◆","")</f>
        <v/>
      </c>
      <c r="BT28" s="57" t="str">
        <f aca="false">IF(AND(BT$7=$I28,ISNUMBER($I28)),"◆","")</f>
        <v/>
      </c>
      <c r="BU28" s="57" t="str">
        <f aca="false">IF(AND(BU$7=$I28,ISNUMBER($I28)),"◆","")</f>
        <v/>
      </c>
      <c r="BV28" s="57" t="str">
        <f aca="false">IF(AND(BV$7=$I28,ISNUMBER($I28)),"◆","")</f>
        <v/>
      </c>
      <c r="BW28" s="57" t="str">
        <f aca="false">IF(AND(BW$7=$I28,ISNUMBER($I28)),"◆","")</f>
        <v/>
      </c>
      <c r="BX28" s="57" t="str">
        <f aca="false">IF(AND(BX$7=$I28,ISNUMBER($I28)),"◆","")</f>
        <v/>
      </c>
      <c r="BY28" s="57" t="str">
        <f aca="false">IF(AND(BY$7=$I28,ISNUMBER($I28)),"◆","")</f>
        <v/>
      </c>
      <c r="BZ28" s="57" t="str">
        <f aca="false">IF(AND(BZ$7=$I28,ISNUMBER($I28)),"◆","")</f>
        <v/>
      </c>
      <c r="CA28" s="57" t="str">
        <f aca="false">IF(AND(CA$7=$I28,ISNUMBER($I28)),"◆","")</f>
        <v/>
      </c>
      <c r="CB28" s="57" t="str">
        <f aca="false">IF(AND(CB$7=$I28,ISNUMBER($I28)),"◆","")</f>
        <v/>
      </c>
      <c r="CC28" s="57" t="str">
        <f aca="false">IF(AND(CC$7=$I28,ISNUMBER($I28)),"◆","")</f>
        <v/>
      </c>
      <c r="CD28" s="57" t="str">
        <f aca="false">IF(AND(CD$7=$I28,ISNUMBER($I28)),"◆","")</f>
        <v/>
      </c>
      <c r="CE28" s="57" t="str">
        <f aca="false">IF(AND(CE$7=$I28,ISNUMBER($I28)),"◆","")</f>
        <v/>
      </c>
      <c r="CF28" s="57" t="str">
        <f aca="false">IF(AND(CF$7=$I28,ISNUMBER($I28)),"◆","")</f>
        <v/>
      </c>
      <c r="CG28" s="57" t="str">
        <f aca="false">IF(AND(CG$7=$I28,ISNUMBER($I28)),"◆","")</f>
        <v/>
      </c>
      <c r="CH28" s="57" t="str">
        <f aca="false">IF(AND(CH$7=$I28,ISNUMBER($I28)),"◆","")</f>
        <v/>
      </c>
      <c r="CI28" s="57" t="str">
        <f aca="false">IF(AND(CI$7=$I28,ISNUMBER($I28)),"◆","")</f>
        <v/>
      </c>
      <c r="CJ28" s="57" t="str">
        <f aca="false">IF(AND(CJ$7=$I28,ISNUMBER($I28)),"◆","")</f>
        <v/>
      </c>
      <c r="CK28" s="57" t="str">
        <f aca="false">IF(AND(CK$7=$I28,ISNUMBER($I28)),"◆","")</f>
        <v/>
      </c>
      <c r="CL28" s="57" t="str">
        <f aca="false">IF(AND(CL$7=$I28,ISNUMBER($I28)),"◆","")</f>
        <v/>
      </c>
      <c r="CM28" s="57" t="str">
        <f aca="false">IF(AND(CM$7=$I28,ISNUMBER($I28)),"◆","")</f>
        <v/>
      </c>
      <c r="CN28" s="57" t="str">
        <f aca="false">IF(AND(CN$7=$I28,ISNUMBER($I28)),"◆","")</f>
        <v/>
      </c>
      <c r="CO28" s="57" t="str">
        <f aca="false">IF(AND(CO$7=$I28,ISNUMBER($I28)),"◆","")</f>
        <v/>
      </c>
      <c r="CP28" s="57" t="str">
        <f aca="false">IF(AND(CP$7=$I28,ISNUMBER($I28)),"◆","")</f>
        <v/>
      </c>
      <c r="CQ28" s="57" t="str">
        <f aca="false">IF(AND(CQ$7=$I28,ISNUMBER($I28)),"◆","")</f>
        <v/>
      </c>
      <c r="CR28" s="57" t="str">
        <f aca="false">IF(AND(CR$7=$I28,ISNUMBER($I28)),"◆","")</f>
        <v/>
      </c>
      <c r="CS28" s="57" t="str">
        <f aca="false">IF(AND(CS$7=$I28,ISNUMBER($I28)),"◆","")</f>
        <v/>
      </c>
      <c r="CT28" s="57" t="str">
        <f aca="false">IF(AND(CT$7=$I28,ISNUMBER($I28)),"◆","")</f>
        <v/>
      </c>
      <c r="CU28" s="57" t="str">
        <f aca="false">IF(AND(CU$7=$I28,ISNUMBER($I28)),"◆","")</f>
        <v/>
      </c>
      <c r="CV28" s="57" t="str">
        <f aca="false">IF(AND(CV$7=$I28,ISNUMBER($I28)),"◆","")</f>
        <v/>
      </c>
      <c r="CW28" s="57" t="str">
        <f aca="false">IF(AND(CW$7=$I28,ISNUMBER($I28)),"◆","")</f>
        <v/>
      </c>
      <c r="CX28" s="57" t="str">
        <f aca="false">IF(AND(CX$7=$I28,ISNUMBER($I28)),"◆","")</f>
        <v/>
      </c>
      <c r="CY28" s="57" t="str">
        <f aca="false">IF(AND(CY$7=$I28,ISNUMBER($I28)),"◆","")</f>
        <v/>
      </c>
      <c r="CZ28" s="57" t="str">
        <f aca="false">IF(AND(CZ$7=$I28,ISNUMBER($I28)),"◆","")</f>
        <v/>
      </c>
      <c r="DA28" s="57" t="str">
        <f aca="false">IF(AND(DA$7=$I28,ISNUMBER($I28)),"◆","")</f>
        <v/>
      </c>
      <c r="DB28" s="57" t="str">
        <f aca="false">IF(AND(DB$7=$I28,ISNUMBER($I28)),"◆","")</f>
        <v/>
      </c>
      <c r="DC28" s="57" t="str">
        <f aca="false">IF(AND(DC$7=$I28,ISNUMBER($I28)),"◆","")</f>
        <v/>
      </c>
      <c r="DD28" s="57" t="str">
        <f aca="false">IF(AND(DD$7=$I28,ISNUMBER($I28)),"◆","")</f>
        <v/>
      </c>
      <c r="DE28" s="57" t="str">
        <f aca="false">IF(AND(DE$7=$I28,ISNUMBER($I28)),"◆","")</f>
        <v/>
      </c>
      <c r="DF28" s="57" t="str">
        <f aca="false">IF(AND(DF$7=$I28,ISNUMBER($I28)),"◆","")</f>
        <v/>
      </c>
      <c r="DG28" s="57" t="str">
        <f aca="false">IF(AND(DG$7=$I28,ISNUMBER($I28)),"◆","")</f>
        <v/>
      </c>
      <c r="DH28" s="57" t="str">
        <f aca="false">IF(AND(DH$7=$I28,ISNUMBER($I28)),"◆","")</f>
        <v/>
      </c>
      <c r="DI28" s="57" t="str">
        <f aca="false">IF(AND(DI$7=$I28,ISNUMBER($I28)),"◆","")</f>
        <v/>
      </c>
      <c r="DJ28" s="57" t="str">
        <f aca="false">IF(AND(DJ$7=$I28,ISNUMBER($I28)),"◆","")</f>
        <v/>
      </c>
      <c r="DK28" s="57" t="str">
        <f aca="false">IF(AND(DK$7=$I28,ISNUMBER($I28)),"◆","")</f>
        <v/>
      </c>
      <c r="DL28" s="57" t="str">
        <f aca="false">IF(AND(DL$7=$I28,ISNUMBER($I28)),"◆","")</f>
        <v/>
      </c>
      <c r="DM28" s="57" t="str">
        <f aca="false">IF(AND(DM$7=$I28,ISNUMBER($I28)),"◆","")</f>
        <v/>
      </c>
      <c r="DN28" s="57" t="str">
        <f aca="false">IF(AND(DN$7=$I28,ISNUMBER($I28)),"◆","")</f>
        <v/>
      </c>
      <c r="DO28" s="57" t="str">
        <f aca="false">IF(AND(DO$7=$I28,ISNUMBER($I28)),"◆","")</f>
        <v/>
      </c>
      <c r="DP28" s="57" t="str">
        <f aca="false">IF(AND(DP$7=$I28,ISNUMBER($I28)),"◆","")</f>
        <v/>
      </c>
      <c r="DQ28" s="57" t="str">
        <f aca="false">IF(AND(DQ$7=$I28,ISNUMBER($I28)),"◆","")</f>
        <v/>
      </c>
      <c r="DR28" s="57" t="str">
        <f aca="false">IF(AND(DR$7=$I28,ISNUMBER($I28)),"◆","")</f>
        <v/>
      </c>
      <c r="DS28" s="57" t="str">
        <f aca="false">IF(AND(DS$7=$I28,ISNUMBER($I28)),"◆","")</f>
        <v/>
      </c>
      <c r="DT28" s="57" t="str">
        <f aca="false">IF(AND(DT$7=$I28,ISNUMBER($I28)),"◆","")</f>
        <v/>
      </c>
      <c r="DU28" s="57" t="str">
        <f aca="false">IF(AND(DU$7=$I28,ISNUMBER($I28)),"◆","")</f>
        <v/>
      </c>
      <c r="DV28" s="57" t="str">
        <f aca="false">IF(AND(DV$7=$I28,ISNUMBER($I28)),"◆","")</f>
        <v/>
      </c>
      <c r="DW28" s="57" t="str">
        <f aca="false">IF(AND(DW$7=$I28,ISNUMBER($I28)),"◆","")</f>
        <v/>
      </c>
      <c r="DX28" s="57" t="str">
        <f aca="false">IF(AND(DX$7=$I28,ISNUMBER($I28)),"◆","")</f>
        <v/>
      </c>
      <c r="DY28" s="57" t="str">
        <f aca="false">IF(AND(DY$7=$I28,ISNUMBER($I28)),"◆","")</f>
        <v/>
      </c>
      <c r="DZ28" s="57" t="str">
        <f aca="false">IF(AND(DZ$7=$I28,ISNUMBER($I28)),"◆","")</f>
        <v/>
      </c>
      <c r="EA28" s="57" t="str">
        <f aca="false">IF(AND(EA$7=$I28,ISNUMBER($I28)),"◆","")</f>
        <v/>
      </c>
      <c r="EB28" s="57" t="str">
        <f aca="false">IF(AND(EB$7=$I28,ISNUMBER($I28)),"◆","")</f>
        <v/>
      </c>
      <c r="EC28" s="57" t="str">
        <f aca="false">IF(AND(EC$7=$I28,ISNUMBER($I28)),"◆","")</f>
        <v/>
      </c>
      <c r="ED28" s="57" t="str">
        <f aca="false">IF(AND(ED$7=$I28,ISNUMBER($I28)),"◆","")</f>
        <v/>
      </c>
      <c r="EE28" s="57" t="str">
        <f aca="false">IF(AND(EE$7=$I28,ISNUMBER($I28)),"◆","")</f>
        <v/>
      </c>
      <c r="EF28" s="57" t="str">
        <f aca="false">IF(AND(EF$7=$I28,ISNUMBER($I28)),"◆","")</f>
        <v/>
      </c>
      <c r="EG28" s="57" t="str">
        <f aca="false">IF(AND(EG$7=$I28,ISNUMBER($I28)),"◆","")</f>
        <v/>
      </c>
      <c r="EH28" s="57" t="str">
        <f aca="false">IF(AND(EH$7=$I28,ISNUMBER($I28)),"◆","")</f>
        <v/>
      </c>
      <c r="EI28" s="57" t="str">
        <f aca="false">IF(AND(EI$7=$I28,ISNUMBER($I28)),"◆","")</f>
        <v/>
      </c>
      <c r="EJ28" s="57" t="str">
        <f aca="false">IF(AND(EJ$7=$I28,ISNUMBER($I28)),"◆","")</f>
        <v/>
      </c>
      <c r="EK28" s="57" t="str">
        <f aca="false">IF(AND(EK$7=$I28,ISNUMBER($I28)),"◆","")</f>
        <v/>
      </c>
      <c r="EL28" s="57" t="str">
        <f aca="false">IF(AND(EL$7=$I28,ISNUMBER($I28)),"◆","")</f>
        <v/>
      </c>
      <c r="EM28" s="57" t="str">
        <f aca="false">IF(AND(EM$7=$I28,ISNUMBER($I28)),"◆","")</f>
        <v/>
      </c>
      <c r="EN28" s="57" t="str">
        <f aca="false">IF(AND(EN$7=$I28,ISNUMBER($I28)),"◆","")</f>
        <v/>
      </c>
      <c r="EO28" s="57" t="str">
        <f aca="false">IF(AND(EO$7=$I28,ISNUMBER($I28)),"◆","")</f>
        <v/>
      </c>
      <c r="EP28" s="57" t="str">
        <f aca="false">IF(AND(EP$7=$I28,ISNUMBER($I28)),"◆","")</f>
        <v/>
      </c>
      <c r="EQ28" s="57" t="str">
        <f aca="false">IF(AND(EQ$7=$I28,ISNUMBER($I28)),"◆","")</f>
        <v/>
      </c>
      <c r="ER28" s="57" t="str">
        <f aca="false">IF(AND(ER$7=$I28,ISNUMBER($I28)),"◆","")</f>
        <v/>
      </c>
      <c r="ES28" s="57" t="str">
        <f aca="false">IF(AND(ES$7=$I28,ISNUMBER($I28)),"◆","")</f>
        <v/>
      </c>
      <c r="ET28" s="57" t="str">
        <f aca="false">IF(AND(ET$7=$I28,ISNUMBER($I28)),"◆","")</f>
        <v/>
      </c>
      <c r="EU28" s="57" t="str">
        <f aca="false">IF(AND(EU$7=$I28,ISNUMBER($I28)),"◆","")</f>
        <v/>
      </c>
      <c r="EV28" s="57" t="str">
        <f aca="false">IF(AND(EV$7=$I28,ISNUMBER($I28)),"◆","")</f>
        <v/>
      </c>
      <c r="EW28" s="57" t="str">
        <f aca="false">IF(AND(EW$7=$I28,ISNUMBER($I28)),"◆","")</f>
        <v/>
      </c>
      <c r="EX28" s="57" t="str">
        <f aca="false">IF(AND(EX$7=$I28,ISNUMBER($I28)),"◆","")</f>
        <v/>
      </c>
      <c r="EY28" s="57" t="str">
        <f aca="false">IF(AND(EY$7=$I28,ISNUMBER($I28)),"◆","")</f>
        <v/>
      </c>
      <c r="EZ28" s="57" t="str">
        <f aca="false">IF(AND(EZ$7=$I28,ISNUMBER($I28)),"◆","")</f>
        <v/>
      </c>
      <c r="FA28" s="57" t="str">
        <f aca="false">IF(AND(FA$7=$I28,ISNUMBER($I28)),"◆","")</f>
        <v/>
      </c>
      <c r="FB28" s="57" t="str">
        <f aca="false">IF(AND(FB$7=$I28,ISNUMBER($I28)),"◆","")</f>
        <v/>
      </c>
      <c r="FC28" s="57" t="str">
        <f aca="false">IF(AND(FC$7=$I28,ISNUMBER($I28)),"◆","")</f>
        <v/>
      </c>
      <c r="FD28" s="57" t="str">
        <f aca="false">IF(AND(FD$7=$I28,ISNUMBER($I28)),"◆","")</f>
        <v/>
      </c>
      <c r="FE28" s="57" t="str">
        <f aca="false">IF(AND(FE$7=$I28,ISNUMBER($I28)),"◆","")</f>
        <v/>
      </c>
      <c r="FF28" s="57" t="str">
        <f aca="false">IF(AND(FF$7=$I28,ISNUMBER($I28)),"◆","")</f>
        <v/>
      </c>
      <c r="FG28" s="57" t="str">
        <f aca="false">IF(AND(FG$7=$I28,ISNUMBER($I28)),"◆","")</f>
        <v/>
      </c>
      <c r="FH28" s="57" t="str">
        <f aca="false">IF(AND(FH$7=$I28,ISNUMBER($I28)),"◆","")</f>
        <v/>
      </c>
      <c r="FI28" s="57" t="str">
        <f aca="false">IF(AND(FI$7=$I28,ISNUMBER($I28)),"◆","")</f>
        <v/>
      </c>
      <c r="FJ28" s="57" t="str">
        <f aca="false">IF(AND(FJ$7=$I28,ISNUMBER($I28)),"◆","")</f>
        <v/>
      </c>
      <c r="FK28" s="57" t="str">
        <f aca="false">IF(AND(FK$7=$I28,ISNUMBER($I28)),"◆","")</f>
        <v/>
      </c>
      <c r="FL28" s="57" t="str">
        <f aca="false">IF(AND(FL$7=$I28,ISNUMBER($I28)),"◆","")</f>
        <v/>
      </c>
      <c r="FM28" s="57" t="str">
        <f aca="false">IF(AND(FM$7=$I28,ISNUMBER($I28)),"◆","")</f>
        <v/>
      </c>
      <c r="FN28" s="57" t="str">
        <f aca="false">IF(AND(FN$7=$I28,ISNUMBER($I28)),"◆","")</f>
        <v/>
      </c>
      <c r="FO28" s="57" t="str">
        <f aca="false">IF(AND(FO$7=$I28,ISNUMBER($I28)),"◆","")</f>
        <v/>
      </c>
      <c r="FP28" s="57" t="str">
        <f aca="false">IF(AND(FP$7=$I28,ISNUMBER($I28)),"◆","")</f>
        <v/>
      </c>
      <c r="FQ28" s="57" t="str">
        <f aca="false">IF(AND(FQ$7=$I28,ISNUMBER($I28)),"◆","")</f>
        <v/>
      </c>
      <c r="FR28" s="57" t="str">
        <f aca="false">IF(AND(FR$7=$I28,ISNUMBER($I28)),"◆","")</f>
        <v/>
      </c>
      <c r="FS28" s="57" t="str">
        <f aca="false">IF(AND(FS$7=$I28,ISNUMBER($I28)),"◆","")</f>
        <v/>
      </c>
      <c r="FT28" s="57" t="str">
        <f aca="false">IF(AND(FT$7=$I28,ISNUMBER($I28)),"◆","")</f>
        <v/>
      </c>
      <c r="FU28" s="57" t="str">
        <f aca="false">IF(AND(FU$7=$I28,ISNUMBER($I28)),"◆","")</f>
        <v/>
      </c>
      <c r="FV28" s="57" t="str">
        <f aca="false">IF(AND(FV$7=$I28,ISNUMBER($I28)),"◆","")</f>
        <v/>
      </c>
    </row>
    <row r="29" customFormat="false" ht="25.5" hidden="false" customHeight="true" outlineLevel="0" collapsed="false">
      <c r="A29" s="50" t="str">
        <f aca="false">制作工程表!A24</f>
        <v>T16</v>
      </c>
      <c r="B29" s="51" t="str">
        <f aca="false">制作工程表!B24</f>
        <v>原稿確認</v>
      </c>
      <c r="C29" s="52" t="str">
        <f aca="false">制作工程表!C24</f>
        <v>原稿・写真のご確認</v>
      </c>
      <c r="D29" s="53" t="str">
        <f aca="false">制作工程表!D24</f>
        <v>広報窓口</v>
      </c>
      <c r="E29" s="53" t="str">
        <f aca="false">制作工程表!E24</f>
        <v>代表・出演者</v>
      </c>
      <c r="F29" s="54" t="str">
        <f aca="false">IF(制作工程表!B24="取材撮影","撮影",IF(OR(制作工程表!D24="広報窓口",制作工程表!D24="代表",制作工程表!D24="技術営業課",制作工程表!D24="品質管理課",制作工程表!D24="製造部"),"企業","制作"))</f>
        <v>企業</v>
      </c>
      <c r="G29" s="55" t="n">
        <f aca="false">制作工程表!G24</f>
        <v>46419</v>
      </c>
      <c r="H29" s="55" t="n">
        <f aca="false">制作工程表!H24</f>
        <v>46427</v>
      </c>
      <c r="I29" s="56" t="n">
        <f aca="false">制作工程表!I24</f>
        <v>46427</v>
      </c>
      <c r="J29" s="51" t="str">
        <f aca="false">制作工程表!K24</f>
        <v>未着手</v>
      </c>
      <c r="K29" s="57" t="str">
        <f aca="false">IF(AND(K$7=$I29,ISNUMBER($I29)),"◆","")</f>
        <v/>
      </c>
      <c r="L29" s="57" t="str">
        <f aca="false">IF(AND(L$7=$I29,ISNUMBER($I29)),"◆","")</f>
        <v/>
      </c>
      <c r="M29" s="57" t="str">
        <f aca="false">IF(AND(M$7=$I29,ISNUMBER($I29)),"◆","")</f>
        <v/>
      </c>
      <c r="N29" s="57" t="str">
        <f aca="false">IF(AND(N$7=$I29,ISNUMBER($I29)),"◆","")</f>
        <v/>
      </c>
      <c r="O29" s="57" t="str">
        <f aca="false">IF(AND(O$7=$I29,ISNUMBER($I29)),"◆","")</f>
        <v/>
      </c>
      <c r="P29" s="57" t="str">
        <f aca="false">IF(AND(P$7=$I29,ISNUMBER($I29)),"◆","")</f>
        <v/>
      </c>
      <c r="Q29" s="57" t="str">
        <f aca="false">IF(AND(Q$7=$I29,ISNUMBER($I29)),"◆","")</f>
        <v/>
      </c>
      <c r="R29" s="57" t="str">
        <f aca="false">IF(AND(R$7=$I29,ISNUMBER($I29)),"◆","")</f>
        <v/>
      </c>
      <c r="S29" s="57" t="str">
        <f aca="false">IF(AND(S$7=$I29,ISNUMBER($I29)),"◆","")</f>
        <v/>
      </c>
      <c r="T29" s="57" t="str">
        <f aca="false">IF(AND(T$7=$I29,ISNUMBER($I29)),"◆","")</f>
        <v/>
      </c>
      <c r="U29" s="57" t="str">
        <f aca="false">IF(AND(U$7=$I29,ISNUMBER($I29)),"◆","")</f>
        <v/>
      </c>
      <c r="V29" s="57" t="str">
        <f aca="false">IF(AND(V$7=$I29,ISNUMBER($I29)),"◆","")</f>
        <v/>
      </c>
      <c r="W29" s="57" t="str">
        <f aca="false">IF(AND(W$7=$I29,ISNUMBER($I29)),"◆","")</f>
        <v/>
      </c>
      <c r="X29" s="57" t="str">
        <f aca="false">IF(AND(X$7=$I29,ISNUMBER($I29)),"◆","")</f>
        <v/>
      </c>
      <c r="Y29" s="57" t="str">
        <f aca="false">IF(AND(Y$7=$I29,ISNUMBER($I29)),"◆","")</f>
        <v/>
      </c>
      <c r="Z29" s="57" t="str">
        <f aca="false">IF(AND(Z$7=$I29,ISNUMBER($I29)),"◆","")</f>
        <v/>
      </c>
      <c r="AA29" s="57" t="str">
        <f aca="false">IF(AND(AA$7=$I29,ISNUMBER($I29)),"◆","")</f>
        <v/>
      </c>
      <c r="AB29" s="57" t="str">
        <f aca="false">IF(AND(AB$7=$I29,ISNUMBER($I29)),"◆","")</f>
        <v/>
      </c>
      <c r="AC29" s="57" t="str">
        <f aca="false">IF(AND(AC$7=$I29,ISNUMBER($I29)),"◆","")</f>
        <v/>
      </c>
      <c r="AD29" s="57" t="str">
        <f aca="false">IF(AND(AD$7=$I29,ISNUMBER($I29)),"◆","")</f>
        <v/>
      </c>
      <c r="AE29" s="57" t="str">
        <f aca="false">IF(AND(AE$7=$I29,ISNUMBER($I29)),"◆","")</f>
        <v/>
      </c>
      <c r="AF29" s="57" t="str">
        <f aca="false">IF(AND(AF$7=$I29,ISNUMBER($I29)),"◆","")</f>
        <v/>
      </c>
      <c r="AG29" s="57" t="str">
        <f aca="false">IF(AND(AG$7=$I29,ISNUMBER($I29)),"◆","")</f>
        <v/>
      </c>
      <c r="AH29" s="57" t="str">
        <f aca="false">IF(AND(AH$7=$I29,ISNUMBER($I29)),"◆","")</f>
        <v/>
      </c>
      <c r="AI29" s="57" t="str">
        <f aca="false">IF(AND(AI$7=$I29,ISNUMBER($I29)),"◆","")</f>
        <v/>
      </c>
      <c r="AJ29" s="57" t="str">
        <f aca="false">IF(AND(AJ$7=$I29,ISNUMBER($I29)),"◆","")</f>
        <v/>
      </c>
      <c r="AK29" s="57" t="str">
        <f aca="false">IF(AND(AK$7=$I29,ISNUMBER($I29)),"◆","")</f>
        <v/>
      </c>
      <c r="AL29" s="57" t="str">
        <f aca="false">IF(AND(AL$7=$I29,ISNUMBER($I29)),"◆","")</f>
        <v/>
      </c>
      <c r="AM29" s="57" t="str">
        <f aca="false">IF(AND(AM$7=$I29,ISNUMBER($I29)),"◆","")</f>
        <v/>
      </c>
      <c r="AN29" s="57" t="str">
        <f aca="false">IF(AND(AN$7=$I29,ISNUMBER($I29)),"◆","")</f>
        <v/>
      </c>
      <c r="AO29" s="57" t="str">
        <f aca="false">IF(AND(AO$7=$I29,ISNUMBER($I29)),"◆","")</f>
        <v/>
      </c>
      <c r="AP29" s="57" t="str">
        <f aca="false">IF(AND(AP$7=$I29,ISNUMBER($I29)),"◆","")</f>
        <v/>
      </c>
      <c r="AQ29" s="57" t="str">
        <f aca="false">IF(AND(AQ$7=$I29,ISNUMBER($I29)),"◆","")</f>
        <v/>
      </c>
      <c r="AR29" s="57" t="str">
        <f aca="false">IF(AND(AR$7=$I29,ISNUMBER($I29)),"◆","")</f>
        <v/>
      </c>
      <c r="AS29" s="57" t="str">
        <f aca="false">IF(AND(AS$7=$I29,ISNUMBER($I29)),"◆","")</f>
        <v/>
      </c>
      <c r="AT29" s="57" t="str">
        <f aca="false">IF(AND(AT$7=$I29,ISNUMBER($I29)),"◆","")</f>
        <v/>
      </c>
      <c r="AU29" s="57" t="str">
        <f aca="false">IF(AND(AU$7=$I29,ISNUMBER($I29)),"◆","")</f>
        <v/>
      </c>
      <c r="AV29" s="57" t="str">
        <f aca="false">IF(AND(AV$7=$I29,ISNUMBER($I29)),"◆","")</f>
        <v/>
      </c>
      <c r="AW29" s="57" t="str">
        <f aca="false">IF(AND(AW$7=$I29,ISNUMBER($I29)),"◆","")</f>
        <v/>
      </c>
      <c r="AX29" s="57" t="str">
        <f aca="false">IF(AND(AX$7=$I29,ISNUMBER($I29)),"◆","")</f>
        <v/>
      </c>
      <c r="AY29" s="57" t="str">
        <f aca="false">IF(AND(AY$7=$I29,ISNUMBER($I29)),"◆","")</f>
        <v/>
      </c>
      <c r="AZ29" s="57" t="str">
        <f aca="false">IF(AND(AZ$7=$I29,ISNUMBER($I29)),"◆","")</f>
        <v/>
      </c>
      <c r="BA29" s="57" t="str">
        <f aca="false">IF(AND(BA$7=$I29,ISNUMBER($I29)),"◆","")</f>
        <v/>
      </c>
      <c r="BB29" s="57" t="str">
        <f aca="false">IF(AND(BB$7=$I29,ISNUMBER($I29)),"◆","")</f>
        <v/>
      </c>
      <c r="BC29" s="57" t="str">
        <f aca="false">IF(AND(BC$7=$I29,ISNUMBER($I29)),"◆","")</f>
        <v/>
      </c>
      <c r="BD29" s="57" t="str">
        <f aca="false">IF(AND(BD$7=$I29,ISNUMBER($I29)),"◆","")</f>
        <v/>
      </c>
      <c r="BE29" s="57" t="str">
        <f aca="false">IF(AND(BE$7=$I29,ISNUMBER($I29)),"◆","")</f>
        <v/>
      </c>
      <c r="BF29" s="57" t="str">
        <f aca="false">IF(AND(BF$7=$I29,ISNUMBER($I29)),"◆","")</f>
        <v/>
      </c>
      <c r="BG29" s="57" t="str">
        <f aca="false">IF(AND(BG$7=$I29,ISNUMBER($I29)),"◆","")</f>
        <v/>
      </c>
      <c r="BH29" s="57" t="str">
        <f aca="false">IF(AND(BH$7=$I29,ISNUMBER($I29)),"◆","")</f>
        <v/>
      </c>
      <c r="BI29" s="57" t="str">
        <f aca="false">IF(AND(BI$7=$I29,ISNUMBER($I29)),"◆","")</f>
        <v/>
      </c>
      <c r="BJ29" s="57" t="str">
        <f aca="false">IF(AND(BJ$7=$I29,ISNUMBER($I29)),"◆","")</f>
        <v/>
      </c>
      <c r="BK29" s="57" t="str">
        <f aca="false">IF(AND(BK$7=$I29,ISNUMBER($I29)),"◆","")</f>
        <v/>
      </c>
      <c r="BL29" s="57" t="str">
        <f aca="false">IF(AND(BL$7=$I29,ISNUMBER($I29)),"◆","")</f>
        <v/>
      </c>
      <c r="BM29" s="57" t="str">
        <f aca="false">IF(AND(BM$7=$I29,ISNUMBER($I29)),"◆","")</f>
        <v/>
      </c>
      <c r="BN29" s="57" t="str">
        <f aca="false">IF(AND(BN$7=$I29,ISNUMBER($I29)),"◆","")</f>
        <v/>
      </c>
      <c r="BO29" s="57" t="str">
        <f aca="false">IF(AND(BO$7=$I29,ISNUMBER($I29)),"◆","")</f>
        <v/>
      </c>
      <c r="BP29" s="57" t="str">
        <f aca="false">IF(AND(BP$7=$I29,ISNUMBER($I29)),"◆","")</f>
        <v/>
      </c>
      <c r="BQ29" s="57" t="str">
        <f aca="false">IF(AND(BQ$7=$I29,ISNUMBER($I29)),"◆","")</f>
        <v/>
      </c>
      <c r="BR29" s="57" t="str">
        <f aca="false">IF(AND(BR$7=$I29,ISNUMBER($I29)),"◆","")</f>
        <v/>
      </c>
      <c r="BS29" s="57" t="str">
        <f aca="false">IF(AND(BS$7=$I29,ISNUMBER($I29)),"◆","")</f>
        <v/>
      </c>
      <c r="BT29" s="57" t="str">
        <f aca="false">IF(AND(BT$7=$I29,ISNUMBER($I29)),"◆","")</f>
        <v/>
      </c>
      <c r="BU29" s="57" t="str">
        <f aca="false">IF(AND(BU$7=$I29,ISNUMBER($I29)),"◆","")</f>
        <v/>
      </c>
      <c r="BV29" s="57" t="str">
        <f aca="false">IF(AND(BV$7=$I29,ISNUMBER($I29)),"◆","")</f>
        <v/>
      </c>
      <c r="BW29" s="57" t="str">
        <f aca="false">IF(AND(BW$7=$I29,ISNUMBER($I29)),"◆","")</f>
        <v/>
      </c>
      <c r="BX29" s="57" t="str">
        <f aca="false">IF(AND(BX$7=$I29,ISNUMBER($I29)),"◆","")</f>
        <v/>
      </c>
      <c r="BY29" s="57" t="str">
        <f aca="false">IF(AND(BY$7=$I29,ISNUMBER($I29)),"◆","")</f>
        <v/>
      </c>
      <c r="BZ29" s="57" t="str">
        <f aca="false">IF(AND(BZ$7=$I29,ISNUMBER($I29)),"◆","")</f>
        <v/>
      </c>
      <c r="CA29" s="57" t="str">
        <f aca="false">IF(AND(CA$7=$I29,ISNUMBER($I29)),"◆","")</f>
        <v/>
      </c>
      <c r="CB29" s="57" t="str">
        <f aca="false">IF(AND(CB$7=$I29,ISNUMBER($I29)),"◆","")</f>
        <v/>
      </c>
      <c r="CC29" s="57" t="str">
        <f aca="false">IF(AND(CC$7=$I29,ISNUMBER($I29)),"◆","")</f>
        <v/>
      </c>
      <c r="CD29" s="57" t="str">
        <f aca="false">IF(AND(CD$7=$I29,ISNUMBER($I29)),"◆","")</f>
        <v/>
      </c>
      <c r="CE29" s="57" t="str">
        <f aca="false">IF(AND(CE$7=$I29,ISNUMBER($I29)),"◆","")</f>
        <v/>
      </c>
      <c r="CF29" s="57" t="str">
        <f aca="false">IF(AND(CF$7=$I29,ISNUMBER($I29)),"◆","")</f>
        <v/>
      </c>
      <c r="CG29" s="57" t="str">
        <f aca="false">IF(AND(CG$7=$I29,ISNUMBER($I29)),"◆","")</f>
        <v/>
      </c>
      <c r="CH29" s="57" t="str">
        <f aca="false">IF(AND(CH$7=$I29,ISNUMBER($I29)),"◆","")</f>
        <v/>
      </c>
      <c r="CI29" s="57" t="str">
        <f aca="false">IF(AND(CI$7=$I29,ISNUMBER($I29)),"◆","")</f>
        <v/>
      </c>
      <c r="CJ29" s="57" t="str">
        <f aca="false">IF(AND(CJ$7=$I29,ISNUMBER($I29)),"◆","")</f>
        <v/>
      </c>
      <c r="CK29" s="57" t="str">
        <f aca="false">IF(AND(CK$7=$I29,ISNUMBER($I29)),"◆","")</f>
        <v/>
      </c>
      <c r="CL29" s="57" t="str">
        <f aca="false">IF(AND(CL$7=$I29,ISNUMBER($I29)),"◆","")</f>
        <v/>
      </c>
      <c r="CM29" s="57" t="str">
        <f aca="false">IF(AND(CM$7=$I29,ISNUMBER($I29)),"◆","")</f>
        <v/>
      </c>
      <c r="CN29" s="57" t="str">
        <f aca="false">IF(AND(CN$7=$I29,ISNUMBER($I29)),"◆","")</f>
        <v/>
      </c>
      <c r="CO29" s="57" t="str">
        <f aca="false">IF(AND(CO$7=$I29,ISNUMBER($I29)),"◆","")</f>
        <v/>
      </c>
      <c r="CP29" s="57" t="str">
        <f aca="false">IF(AND(CP$7=$I29,ISNUMBER($I29)),"◆","")</f>
        <v/>
      </c>
      <c r="CQ29" s="57" t="str">
        <f aca="false">IF(AND(CQ$7=$I29,ISNUMBER($I29)),"◆","")</f>
        <v/>
      </c>
      <c r="CR29" s="57" t="str">
        <f aca="false">IF(AND(CR$7=$I29,ISNUMBER($I29)),"◆","")</f>
        <v/>
      </c>
      <c r="CS29" s="57" t="str">
        <f aca="false">IF(AND(CS$7=$I29,ISNUMBER($I29)),"◆","")</f>
        <v/>
      </c>
      <c r="CT29" s="57" t="str">
        <f aca="false">IF(AND(CT$7=$I29,ISNUMBER($I29)),"◆","")</f>
        <v/>
      </c>
      <c r="CU29" s="57" t="str">
        <f aca="false">IF(AND(CU$7=$I29,ISNUMBER($I29)),"◆","")</f>
        <v/>
      </c>
      <c r="CV29" s="57" t="str">
        <f aca="false">IF(AND(CV$7=$I29,ISNUMBER($I29)),"◆","")</f>
        <v/>
      </c>
      <c r="CW29" s="57" t="str">
        <f aca="false">IF(AND(CW$7=$I29,ISNUMBER($I29)),"◆","")</f>
        <v/>
      </c>
      <c r="CX29" s="57" t="str">
        <f aca="false">IF(AND(CX$7=$I29,ISNUMBER($I29)),"◆","")</f>
        <v/>
      </c>
      <c r="CY29" s="57" t="str">
        <f aca="false">IF(AND(CY$7=$I29,ISNUMBER($I29)),"◆","")</f>
        <v/>
      </c>
      <c r="CZ29" s="57" t="str">
        <f aca="false">IF(AND(CZ$7=$I29,ISNUMBER($I29)),"◆","")</f>
        <v/>
      </c>
      <c r="DA29" s="57" t="str">
        <f aca="false">IF(AND(DA$7=$I29,ISNUMBER($I29)),"◆","")</f>
        <v/>
      </c>
      <c r="DB29" s="57" t="str">
        <f aca="false">IF(AND(DB$7=$I29,ISNUMBER($I29)),"◆","")</f>
        <v/>
      </c>
      <c r="DC29" s="57" t="str">
        <f aca="false">IF(AND(DC$7=$I29,ISNUMBER($I29)),"◆","")</f>
        <v/>
      </c>
      <c r="DD29" s="57" t="str">
        <f aca="false">IF(AND(DD$7=$I29,ISNUMBER($I29)),"◆","")</f>
        <v/>
      </c>
      <c r="DE29" s="57" t="str">
        <f aca="false">IF(AND(DE$7=$I29,ISNUMBER($I29)),"◆","")</f>
        <v/>
      </c>
      <c r="DF29" s="57" t="str">
        <f aca="false">IF(AND(DF$7=$I29,ISNUMBER($I29)),"◆","")</f>
        <v>◆</v>
      </c>
      <c r="DG29" s="57" t="str">
        <f aca="false">IF(AND(DG$7=$I29,ISNUMBER($I29)),"◆","")</f>
        <v/>
      </c>
      <c r="DH29" s="57" t="str">
        <f aca="false">IF(AND(DH$7=$I29,ISNUMBER($I29)),"◆","")</f>
        <v/>
      </c>
      <c r="DI29" s="57" t="str">
        <f aca="false">IF(AND(DI$7=$I29,ISNUMBER($I29)),"◆","")</f>
        <v/>
      </c>
      <c r="DJ29" s="57" t="str">
        <f aca="false">IF(AND(DJ$7=$I29,ISNUMBER($I29)),"◆","")</f>
        <v/>
      </c>
      <c r="DK29" s="57" t="str">
        <f aca="false">IF(AND(DK$7=$I29,ISNUMBER($I29)),"◆","")</f>
        <v/>
      </c>
      <c r="DL29" s="57" t="str">
        <f aca="false">IF(AND(DL$7=$I29,ISNUMBER($I29)),"◆","")</f>
        <v/>
      </c>
      <c r="DM29" s="57" t="str">
        <f aca="false">IF(AND(DM$7=$I29,ISNUMBER($I29)),"◆","")</f>
        <v/>
      </c>
      <c r="DN29" s="57" t="str">
        <f aca="false">IF(AND(DN$7=$I29,ISNUMBER($I29)),"◆","")</f>
        <v/>
      </c>
      <c r="DO29" s="57" t="str">
        <f aca="false">IF(AND(DO$7=$I29,ISNUMBER($I29)),"◆","")</f>
        <v/>
      </c>
      <c r="DP29" s="57" t="str">
        <f aca="false">IF(AND(DP$7=$I29,ISNUMBER($I29)),"◆","")</f>
        <v/>
      </c>
      <c r="DQ29" s="57" t="str">
        <f aca="false">IF(AND(DQ$7=$I29,ISNUMBER($I29)),"◆","")</f>
        <v/>
      </c>
      <c r="DR29" s="57" t="str">
        <f aca="false">IF(AND(DR$7=$I29,ISNUMBER($I29)),"◆","")</f>
        <v/>
      </c>
      <c r="DS29" s="57" t="str">
        <f aca="false">IF(AND(DS$7=$I29,ISNUMBER($I29)),"◆","")</f>
        <v/>
      </c>
      <c r="DT29" s="57" t="str">
        <f aca="false">IF(AND(DT$7=$I29,ISNUMBER($I29)),"◆","")</f>
        <v/>
      </c>
      <c r="DU29" s="57" t="str">
        <f aca="false">IF(AND(DU$7=$I29,ISNUMBER($I29)),"◆","")</f>
        <v/>
      </c>
      <c r="DV29" s="57" t="str">
        <f aca="false">IF(AND(DV$7=$I29,ISNUMBER($I29)),"◆","")</f>
        <v/>
      </c>
      <c r="DW29" s="57" t="str">
        <f aca="false">IF(AND(DW$7=$I29,ISNUMBER($I29)),"◆","")</f>
        <v/>
      </c>
      <c r="DX29" s="57" t="str">
        <f aca="false">IF(AND(DX$7=$I29,ISNUMBER($I29)),"◆","")</f>
        <v/>
      </c>
      <c r="DY29" s="57" t="str">
        <f aca="false">IF(AND(DY$7=$I29,ISNUMBER($I29)),"◆","")</f>
        <v/>
      </c>
      <c r="DZ29" s="57" t="str">
        <f aca="false">IF(AND(DZ$7=$I29,ISNUMBER($I29)),"◆","")</f>
        <v/>
      </c>
      <c r="EA29" s="57" t="str">
        <f aca="false">IF(AND(EA$7=$I29,ISNUMBER($I29)),"◆","")</f>
        <v/>
      </c>
      <c r="EB29" s="57" t="str">
        <f aca="false">IF(AND(EB$7=$I29,ISNUMBER($I29)),"◆","")</f>
        <v/>
      </c>
      <c r="EC29" s="57" t="str">
        <f aca="false">IF(AND(EC$7=$I29,ISNUMBER($I29)),"◆","")</f>
        <v/>
      </c>
      <c r="ED29" s="57" t="str">
        <f aca="false">IF(AND(ED$7=$I29,ISNUMBER($I29)),"◆","")</f>
        <v/>
      </c>
      <c r="EE29" s="57" t="str">
        <f aca="false">IF(AND(EE$7=$I29,ISNUMBER($I29)),"◆","")</f>
        <v/>
      </c>
      <c r="EF29" s="57" t="str">
        <f aca="false">IF(AND(EF$7=$I29,ISNUMBER($I29)),"◆","")</f>
        <v/>
      </c>
      <c r="EG29" s="57" t="str">
        <f aca="false">IF(AND(EG$7=$I29,ISNUMBER($I29)),"◆","")</f>
        <v/>
      </c>
      <c r="EH29" s="57" t="str">
        <f aca="false">IF(AND(EH$7=$I29,ISNUMBER($I29)),"◆","")</f>
        <v/>
      </c>
      <c r="EI29" s="57" t="str">
        <f aca="false">IF(AND(EI$7=$I29,ISNUMBER($I29)),"◆","")</f>
        <v/>
      </c>
      <c r="EJ29" s="57" t="str">
        <f aca="false">IF(AND(EJ$7=$I29,ISNUMBER($I29)),"◆","")</f>
        <v/>
      </c>
      <c r="EK29" s="57" t="str">
        <f aca="false">IF(AND(EK$7=$I29,ISNUMBER($I29)),"◆","")</f>
        <v/>
      </c>
      <c r="EL29" s="57" t="str">
        <f aca="false">IF(AND(EL$7=$I29,ISNUMBER($I29)),"◆","")</f>
        <v/>
      </c>
      <c r="EM29" s="57" t="str">
        <f aca="false">IF(AND(EM$7=$I29,ISNUMBER($I29)),"◆","")</f>
        <v/>
      </c>
      <c r="EN29" s="57" t="str">
        <f aca="false">IF(AND(EN$7=$I29,ISNUMBER($I29)),"◆","")</f>
        <v/>
      </c>
      <c r="EO29" s="57" t="str">
        <f aca="false">IF(AND(EO$7=$I29,ISNUMBER($I29)),"◆","")</f>
        <v/>
      </c>
      <c r="EP29" s="57" t="str">
        <f aca="false">IF(AND(EP$7=$I29,ISNUMBER($I29)),"◆","")</f>
        <v/>
      </c>
      <c r="EQ29" s="57" t="str">
        <f aca="false">IF(AND(EQ$7=$I29,ISNUMBER($I29)),"◆","")</f>
        <v/>
      </c>
      <c r="ER29" s="57" t="str">
        <f aca="false">IF(AND(ER$7=$I29,ISNUMBER($I29)),"◆","")</f>
        <v/>
      </c>
      <c r="ES29" s="57" t="str">
        <f aca="false">IF(AND(ES$7=$I29,ISNUMBER($I29)),"◆","")</f>
        <v/>
      </c>
      <c r="ET29" s="57" t="str">
        <f aca="false">IF(AND(ET$7=$I29,ISNUMBER($I29)),"◆","")</f>
        <v/>
      </c>
      <c r="EU29" s="57" t="str">
        <f aca="false">IF(AND(EU$7=$I29,ISNUMBER($I29)),"◆","")</f>
        <v/>
      </c>
      <c r="EV29" s="57" t="str">
        <f aca="false">IF(AND(EV$7=$I29,ISNUMBER($I29)),"◆","")</f>
        <v/>
      </c>
      <c r="EW29" s="57" t="str">
        <f aca="false">IF(AND(EW$7=$I29,ISNUMBER($I29)),"◆","")</f>
        <v/>
      </c>
      <c r="EX29" s="57" t="str">
        <f aca="false">IF(AND(EX$7=$I29,ISNUMBER($I29)),"◆","")</f>
        <v/>
      </c>
      <c r="EY29" s="57" t="str">
        <f aca="false">IF(AND(EY$7=$I29,ISNUMBER($I29)),"◆","")</f>
        <v/>
      </c>
      <c r="EZ29" s="57" t="str">
        <f aca="false">IF(AND(EZ$7=$I29,ISNUMBER($I29)),"◆","")</f>
        <v/>
      </c>
      <c r="FA29" s="57" t="str">
        <f aca="false">IF(AND(FA$7=$I29,ISNUMBER($I29)),"◆","")</f>
        <v/>
      </c>
      <c r="FB29" s="57" t="str">
        <f aca="false">IF(AND(FB$7=$I29,ISNUMBER($I29)),"◆","")</f>
        <v/>
      </c>
      <c r="FC29" s="57" t="str">
        <f aca="false">IF(AND(FC$7=$I29,ISNUMBER($I29)),"◆","")</f>
        <v/>
      </c>
      <c r="FD29" s="57" t="str">
        <f aca="false">IF(AND(FD$7=$I29,ISNUMBER($I29)),"◆","")</f>
        <v/>
      </c>
      <c r="FE29" s="57" t="str">
        <f aca="false">IF(AND(FE$7=$I29,ISNUMBER($I29)),"◆","")</f>
        <v/>
      </c>
      <c r="FF29" s="57" t="str">
        <f aca="false">IF(AND(FF$7=$I29,ISNUMBER($I29)),"◆","")</f>
        <v/>
      </c>
      <c r="FG29" s="57" t="str">
        <f aca="false">IF(AND(FG$7=$I29,ISNUMBER($I29)),"◆","")</f>
        <v/>
      </c>
      <c r="FH29" s="57" t="str">
        <f aca="false">IF(AND(FH$7=$I29,ISNUMBER($I29)),"◆","")</f>
        <v/>
      </c>
      <c r="FI29" s="57" t="str">
        <f aca="false">IF(AND(FI$7=$I29,ISNUMBER($I29)),"◆","")</f>
        <v/>
      </c>
      <c r="FJ29" s="57" t="str">
        <f aca="false">IF(AND(FJ$7=$I29,ISNUMBER($I29)),"◆","")</f>
        <v/>
      </c>
      <c r="FK29" s="57" t="str">
        <f aca="false">IF(AND(FK$7=$I29,ISNUMBER($I29)),"◆","")</f>
        <v/>
      </c>
      <c r="FL29" s="57" t="str">
        <f aca="false">IF(AND(FL$7=$I29,ISNUMBER($I29)),"◆","")</f>
        <v/>
      </c>
      <c r="FM29" s="57" t="str">
        <f aca="false">IF(AND(FM$7=$I29,ISNUMBER($I29)),"◆","")</f>
        <v/>
      </c>
      <c r="FN29" s="57" t="str">
        <f aca="false">IF(AND(FN$7=$I29,ISNUMBER($I29)),"◆","")</f>
        <v/>
      </c>
      <c r="FO29" s="57" t="str">
        <f aca="false">IF(AND(FO$7=$I29,ISNUMBER($I29)),"◆","")</f>
        <v/>
      </c>
      <c r="FP29" s="57" t="str">
        <f aca="false">IF(AND(FP$7=$I29,ISNUMBER($I29)),"◆","")</f>
        <v/>
      </c>
      <c r="FQ29" s="57" t="str">
        <f aca="false">IF(AND(FQ$7=$I29,ISNUMBER($I29)),"◆","")</f>
        <v/>
      </c>
      <c r="FR29" s="57" t="str">
        <f aca="false">IF(AND(FR$7=$I29,ISNUMBER($I29)),"◆","")</f>
        <v/>
      </c>
      <c r="FS29" s="57" t="str">
        <f aca="false">IF(AND(FS$7=$I29,ISNUMBER($I29)),"◆","")</f>
        <v/>
      </c>
      <c r="FT29" s="57" t="str">
        <f aca="false">IF(AND(FT$7=$I29,ISNUMBER($I29)),"◆","")</f>
        <v/>
      </c>
      <c r="FU29" s="57" t="str">
        <f aca="false">IF(AND(FU$7=$I29,ISNUMBER($I29)),"◆","")</f>
        <v/>
      </c>
      <c r="FV29" s="57" t="str">
        <f aca="false">IF(AND(FV$7=$I29,ISNUMBER($I29)),"◆","")</f>
        <v/>
      </c>
    </row>
    <row r="30" customFormat="false" ht="25.5" hidden="false" customHeight="true" outlineLevel="0" collapsed="false">
      <c r="A30" s="50" t="str">
        <f aca="false">制作工程表!A25</f>
        <v>T17</v>
      </c>
      <c r="B30" s="51" t="str">
        <f aca="false">制作工程表!B25</f>
        <v>原稿確認</v>
      </c>
      <c r="C30" s="52" t="str">
        <f aca="false">制作工程表!C25</f>
        <v>仕様表記・性能値のご確認</v>
      </c>
      <c r="D30" s="53" t="str">
        <f aca="false">制作工程表!D25</f>
        <v>技術営業課</v>
      </c>
      <c r="E30" s="53" t="str">
        <f aca="false">制作工程表!E25</f>
        <v>品質管理課</v>
      </c>
      <c r="F30" s="54" t="str">
        <f aca="false">IF(制作工程表!B25="取材撮影","撮影",IF(OR(制作工程表!D25="広報窓口",制作工程表!D25="代表",制作工程表!D25="技術営業課",制作工程表!D25="品質管理課",制作工程表!D25="製造部"),"企業","制作"))</f>
        <v>企業</v>
      </c>
      <c r="G30" s="55" t="n">
        <f aca="false">制作工程表!G25</f>
        <v>46419</v>
      </c>
      <c r="H30" s="55" t="n">
        <f aca="false">制作工程表!H25</f>
        <v>46427</v>
      </c>
      <c r="I30" s="56" t="n">
        <f aca="false">制作工程表!I25</f>
        <v>46427</v>
      </c>
      <c r="J30" s="51" t="str">
        <f aca="false">制作工程表!K25</f>
        <v>未着手</v>
      </c>
      <c r="K30" s="57" t="str">
        <f aca="false">IF(AND(K$7=$I30,ISNUMBER($I30)),"◆","")</f>
        <v/>
      </c>
      <c r="L30" s="57" t="str">
        <f aca="false">IF(AND(L$7=$I30,ISNUMBER($I30)),"◆","")</f>
        <v/>
      </c>
      <c r="M30" s="57" t="str">
        <f aca="false">IF(AND(M$7=$I30,ISNUMBER($I30)),"◆","")</f>
        <v/>
      </c>
      <c r="N30" s="57" t="str">
        <f aca="false">IF(AND(N$7=$I30,ISNUMBER($I30)),"◆","")</f>
        <v/>
      </c>
      <c r="O30" s="57" t="str">
        <f aca="false">IF(AND(O$7=$I30,ISNUMBER($I30)),"◆","")</f>
        <v/>
      </c>
      <c r="P30" s="57" t="str">
        <f aca="false">IF(AND(P$7=$I30,ISNUMBER($I30)),"◆","")</f>
        <v/>
      </c>
      <c r="Q30" s="57" t="str">
        <f aca="false">IF(AND(Q$7=$I30,ISNUMBER($I30)),"◆","")</f>
        <v/>
      </c>
      <c r="R30" s="57" t="str">
        <f aca="false">IF(AND(R$7=$I30,ISNUMBER($I30)),"◆","")</f>
        <v/>
      </c>
      <c r="S30" s="57" t="str">
        <f aca="false">IF(AND(S$7=$I30,ISNUMBER($I30)),"◆","")</f>
        <v/>
      </c>
      <c r="T30" s="57" t="str">
        <f aca="false">IF(AND(T$7=$I30,ISNUMBER($I30)),"◆","")</f>
        <v/>
      </c>
      <c r="U30" s="57" t="str">
        <f aca="false">IF(AND(U$7=$I30,ISNUMBER($I30)),"◆","")</f>
        <v/>
      </c>
      <c r="V30" s="57" t="str">
        <f aca="false">IF(AND(V$7=$I30,ISNUMBER($I30)),"◆","")</f>
        <v/>
      </c>
      <c r="W30" s="57" t="str">
        <f aca="false">IF(AND(W$7=$I30,ISNUMBER($I30)),"◆","")</f>
        <v/>
      </c>
      <c r="X30" s="57" t="str">
        <f aca="false">IF(AND(X$7=$I30,ISNUMBER($I30)),"◆","")</f>
        <v/>
      </c>
      <c r="Y30" s="57" t="str">
        <f aca="false">IF(AND(Y$7=$I30,ISNUMBER($I30)),"◆","")</f>
        <v/>
      </c>
      <c r="Z30" s="57" t="str">
        <f aca="false">IF(AND(Z$7=$I30,ISNUMBER($I30)),"◆","")</f>
        <v/>
      </c>
      <c r="AA30" s="57" t="str">
        <f aca="false">IF(AND(AA$7=$I30,ISNUMBER($I30)),"◆","")</f>
        <v/>
      </c>
      <c r="AB30" s="57" t="str">
        <f aca="false">IF(AND(AB$7=$I30,ISNUMBER($I30)),"◆","")</f>
        <v/>
      </c>
      <c r="AC30" s="57" t="str">
        <f aca="false">IF(AND(AC$7=$I30,ISNUMBER($I30)),"◆","")</f>
        <v/>
      </c>
      <c r="AD30" s="57" t="str">
        <f aca="false">IF(AND(AD$7=$I30,ISNUMBER($I30)),"◆","")</f>
        <v/>
      </c>
      <c r="AE30" s="57" t="str">
        <f aca="false">IF(AND(AE$7=$I30,ISNUMBER($I30)),"◆","")</f>
        <v/>
      </c>
      <c r="AF30" s="57" t="str">
        <f aca="false">IF(AND(AF$7=$I30,ISNUMBER($I30)),"◆","")</f>
        <v/>
      </c>
      <c r="AG30" s="57" t="str">
        <f aca="false">IF(AND(AG$7=$I30,ISNUMBER($I30)),"◆","")</f>
        <v/>
      </c>
      <c r="AH30" s="57" t="str">
        <f aca="false">IF(AND(AH$7=$I30,ISNUMBER($I30)),"◆","")</f>
        <v/>
      </c>
      <c r="AI30" s="57" t="str">
        <f aca="false">IF(AND(AI$7=$I30,ISNUMBER($I30)),"◆","")</f>
        <v/>
      </c>
      <c r="AJ30" s="57" t="str">
        <f aca="false">IF(AND(AJ$7=$I30,ISNUMBER($I30)),"◆","")</f>
        <v/>
      </c>
      <c r="AK30" s="57" t="str">
        <f aca="false">IF(AND(AK$7=$I30,ISNUMBER($I30)),"◆","")</f>
        <v/>
      </c>
      <c r="AL30" s="57" t="str">
        <f aca="false">IF(AND(AL$7=$I30,ISNUMBER($I30)),"◆","")</f>
        <v/>
      </c>
      <c r="AM30" s="57" t="str">
        <f aca="false">IF(AND(AM$7=$I30,ISNUMBER($I30)),"◆","")</f>
        <v/>
      </c>
      <c r="AN30" s="57" t="str">
        <f aca="false">IF(AND(AN$7=$I30,ISNUMBER($I30)),"◆","")</f>
        <v/>
      </c>
      <c r="AO30" s="57" t="str">
        <f aca="false">IF(AND(AO$7=$I30,ISNUMBER($I30)),"◆","")</f>
        <v/>
      </c>
      <c r="AP30" s="57" t="str">
        <f aca="false">IF(AND(AP$7=$I30,ISNUMBER($I30)),"◆","")</f>
        <v/>
      </c>
      <c r="AQ30" s="57" t="str">
        <f aca="false">IF(AND(AQ$7=$I30,ISNUMBER($I30)),"◆","")</f>
        <v/>
      </c>
      <c r="AR30" s="57" t="str">
        <f aca="false">IF(AND(AR$7=$I30,ISNUMBER($I30)),"◆","")</f>
        <v/>
      </c>
      <c r="AS30" s="57" t="str">
        <f aca="false">IF(AND(AS$7=$I30,ISNUMBER($I30)),"◆","")</f>
        <v/>
      </c>
      <c r="AT30" s="57" t="str">
        <f aca="false">IF(AND(AT$7=$I30,ISNUMBER($I30)),"◆","")</f>
        <v/>
      </c>
      <c r="AU30" s="57" t="str">
        <f aca="false">IF(AND(AU$7=$I30,ISNUMBER($I30)),"◆","")</f>
        <v/>
      </c>
      <c r="AV30" s="57" t="str">
        <f aca="false">IF(AND(AV$7=$I30,ISNUMBER($I30)),"◆","")</f>
        <v/>
      </c>
      <c r="AW30" s="57" t="str">
        <f aca="false">IF(AND(AW$7=$I30,ISNUMBER($I30)),"◆","")</f>
        <v/>
      </c>
      <c r="AX30" s="57" t="str">
        <f aca="false">IF(AND(AX$7=$I30,ISNUMBER($I30)),"◆","")</f>
        <v/>
      </c>
      <c r="AY30" s="57" t="str">
        <f aca="false">IF(AND(AY$7=$I30,ISNUMBER($I30)),"◆","")</f>
        <v/>
      </c>
      <c r="AZ30" s="57" t="str">
        <f aca="false">IF(AND(AZ$7=$I30,ISNUMBER($I30)),"◆","")</f>
        <v/>
      </c>
      <c r="BA30" s="57" t="str">
        <f aca="false">IF(AND(BA$7=$I30,ISNUMBER($I30)),"◆","")</f>
        <v/>
      </c>
      <c r="BB30" s="57" t="str">
        <f aca="false">IF(AND(BB$7=$I30,ISNUMBER($I30)),"◆","")</f>
        <v/>
      </c>
      <c r="BC30" s="57" t="str">
        <f aca="false">IF(AND(BC$7=$I30,ISNUMBER($I30)),"◆","")</f>
        <v/>
      </c>
      <c r="BD30" s="57" t="str">
        <f aca="false">IF(AND(BD$7=$I30,ISNUMBER($I30)),"◆","")</f>
        <v/>
      </c>
      <c r="BE30" s="57" t="str">
        <f aca="false">IF(AND(BE$7=$I30,ISNUMBER($I30)),"◆","")</f>
        <v/>
      </c>
      <c r="BF30" s="57" t="str">
        <f aca="false">IF(AND(BF$7=$I30,ISNUMBER($I30)),"◆","")</f>
        <v/>
      </c>
      <c r="BG30" s="57" t="str">
        <f aca="false">IF(AND(BG$7=$I30,ISNUMBER($I30)),"◆","")</f>
        <v/>
      </c>
      <c r="BH30" s="57" t="str">
        <f aca="false">IF(AND(BH$7=$I30,ISNUMBER($I30)),"◆","")</f>
        <v/>
      </c>
      <c r="BI30" s="57" t="str">
        <f aca="false">IF(AND(BI$7=$I30,ISNUMBER($I30)),"◆","")</f>
        <v/>
      </c>
      <c r="BJ30" s="57" t="str">
        <f aca="false">IF(AND(BJ$7=$I30,ISNUMBER($I30)),"◆","")</f>
        <v/>
      </c>
      <c r="BK30" s="57" t="str">
        <f aca="false">IF(AND(BK$7=$I30,ISNUMBER($I30)),"◆","")</f>
        <v/>
      </c>
      <c r="BL30" s="57" t="str">
        <f aca="false">IF(AND(BL$7=$I30,ISNUMBER($I30)),"◆","")</f>
        <v/>
      </c>
      <c r="BM30" s="57" t="str">
        <f aca="false">IF(AND(BM$7=$I30,ISNUMBER($I30)),"◆","")</f>
        <v/>
      </c>
      <c r="BN30" s="57" t="str">
        <f aca="false">IF(AND(BN$7=$I30,ISNUMBER($I30)),"◆","")</f>
        <v/>
      </c>
      <c r="BO30" s="57" t="str">
        <f aca="false">IF(AND(BO$7=$I30,ISNUMBER($I30)),"◆","")</f>
        <v/>
      </c>
      <c r="BP30" s="57" t="str">
        <f aca="false">IF(AND(BP$7=$I30,ISNUMBER($I30)),"◆","")</f>
        <v/>
      </c>
      <c r="BQ30" s="57" t="str">
        <f aca="false">IF(AND(BQ$7=$I30,ISNUMBER($I30)),"◆","")</f>
        <v/>
      </c>
      <c r="BR30" s="57" t="str">
        <f aca="false">IF(AND(BR$7=$I30,ISNUMBER($I30)),"◆","")</f>
        <v/>
      </c>
      <c r="BS30" s="57" t="str">
        <f aca="false">IF(AND(BS$7=$I30,ISNUMBER($I30)),"◆","")</f>
        <v/>
      </c>
      <c r="BT30" s="57" t="str">
        <f aca="false">IF(AND(BT$7=$I30,ISNUMBER($I30)),"◆","")</f>
        <v/>
      </c>
      <c r="BU30" s="57" t="str">
        <f aca="false">IF(AND(BU$7=$I30,ISNUMBER($I30)),"◆","")</f>
        <v/>
      </c>
      <c r="BV30" s="57" t="str">
        <f aca="false">IF(AND(BV$7=$I30,ISNUMBER($I30)),"◆","")</f>
        <v/>
      </c>
      <c r="BW30" s="57" t="str">
        <f aca="false">IF(AND(BW$7=$I30,ISNUMBER($I30)),"◆","")</f>
        <v/>
      </c>
      <c r="BX30" s="57" t="str">
        <f aca="false">IF(AND(BX$7=$I30,ISNUMBER($I30)),"◆","")</f>
        <v/>
      </c>
      <c r="BY30" s="57" t="str">
        <f aca="false">IF(AND(BY$7=$I30,ISNUMBER($I30)),"◆","")</f>
        <v/>
      </c>
      <c r="BZ30" s="57" t="str">
        <f aca="false">IF(AND(BZ$7=$I30,ISNUMBER($I30)),"◆","")</f>
        <v/>
      </c>
      <c r="CA30" s="57" t="str">
        <f aca="false">IF(AND(CA$7=$I30,ISNUMBER($I30)),"◆","")</f>
        <v/>
      </c>
      <c r="CB30" s="57" t="str">
        <f aca="false">IF(AND(CB$7=$I30,ISNUMBER($I30)),"◆","")</f>
        <v/>
      </c>
      <c r="CC30" s="57" t="str">
        <f aca="false">IF(AND(CC$7=$I30,ISNUMBER($I30)),"◆","")</f>
        <v/>
      </c>
      <c r="CD30" s="57" t="str">
        <f aca="false">IF(AND(CD$7=$I30,ISNUMBER($I30)),"◆","")</f>
        <v/>
      </c>
      <c r="CE30" s="57" t="str">
        <f aca="false">IF(AND(CE$7=$I30,ISNUMBER($I30)),"◆","")</f>
        <v/>
      </c>
      <c r="CF30" s="57" t="str">
        <f aca="false">IF(AND(CF$7=$I30,ISNUMBER($I30)),"◆","")</f>
        <v/>
      </c>
      <c r="CG30" s="57" t="str">
        <f aca="false">IF(AND(CG$7=$I30,ISNUMBER($I30)),"◆","")</f>
        <v/>
      </c>
      <c r="CH30" s="57" t="str">
        <f aca="false">IF(AND(CH$7=$I30,ISNUMBER($I30)),"◆","")</f>
        <v/>
      </c>
      <c r="CI30" s="57" t="str">
        <f aca="false">IF(AND(CI$7=$I30,ISNUMBER($I30)),"◆","")</f>
        <v/>
      </c>
      <c r="CJ30" s="57" t="str">
        <f aca="false">IF(AND(CJ$7=$I30,ISNUMBER($I30)),"◆","")</f>
        <v/>
      </c>
      <c r="CK30" s="57" t="str">
        <f aca="false">IF(AND(CK$7=$I30,ISNUMBER($I30)),"◆","")</f>
        <v/>
      </c>
      <c r="CL30" s="57" t="str">
        <f aca="false">IF(AND(CL$7=$I30,ISNUMBER($I30)),"◆","")</f>
        <v/>
      </c>
      <c r="CM30" s="57" t="str">
        <f aca="false">IF(AND(CM$7=$I30,ISNUMBER($I30)),"◆","")</f>
        <v/>
      </c>
      <c r="CN30" s="57" t="str">
        <f aca="false">IF(AND(CN$7=$I30,ISNUMBER($I30)),"◆","")</f>
        <v/>
      </c>
      <c r="CO30" s="57" t="str">
        <f aca="false">IF(AND(CO$7=$I30,ISNUMBER($I30)),"◆","")</f>
        <v/>
      </c>
      <c r="CP30" s="57" t="str">
        <f aca="false">IF(AND(CP$7=$I30,ISNUMBER($I30)),"◆","")</f>
        <v/>
      </c>
      <c r="CQ30" s="57" t="str">
        <f aca="false">IF(AND(CQ$7=$I30,ISNUMBER($I30)),"◆","")</f>
        <v/>
      </c>
      <c r="CR30" s="57" t="str">
        <f aca="false">IF(AND(CR$7=$I30,ISNUMBER($I30)),"◆","")</f>
        <v/>
      </c>
      <c r="CS30" s="57" t="str">
        <f aca="false">IF(AND(CS$7=$I30,ISNUMBER($I30)),"◆","")</f>
        <v/>
      </c>
      <c r="CT30" s="57" t="str">
        <f aca="false">IF(AND(CT$7=$I30,ISNUMBER($I30)),"◆","")</f>
        <v/>
      </c>
      <c r="CU30" s="57" t="str">
        <f aca="false">IF(AND(CU$7=$I30,ISNUMBER($I30)),"◆","")</f>
        <v/>
      </c>
      <c r="CV30" s="57" t="str">
        <f aca="false">IF(AND(CV$7=$I30,ISNUMBER($I30)),"◆","")</f>
        <v/>
      </c>
      <c r="CW30" s="57" t="str">
        <f aca="false">IF(AND(CW$7=$I30,ISNUMBER($I30)),"◆","")</f>
        <v/>
      </c>
      <c r="CX30" s="57" t="str">
        <f aca="false">IF(AND(CX$7=$I30,ISNUMBER($I30)),"◆","")</f>
        <v/>
      </c>
      <c r="CY30" s="57" t="str">
        <f aca="false">IF(AND(CY$7=$I30,ISNUMBER($I30)),"◆","")</f>
        <v/>
      </c>
      <c r="CZ30" s="57" t="str">
        <f aca="false">IF(AND(CZ$7=$I30,ISNUMBER($I30)),"◆","")</f>
        <v/>
      </c>
      <c r="DA30" s="57" t="str">
        <f aca="false">IF(AND(DA$7=$I30,ISNUMBER($I30)),"◆","")</f>
        <v/>
      </c>
      <c r="DB30" s="57" t="str">
        <f aca="false">IF(AND(DB$7=$I30,ISNUMBER($I30)),"◆","")</f>
        <v/>
      </c>
      <c r="DC30" s="57" t="str">
        <f aca="false">IF(AND(DC$7=$I30,ISNUMBER($I30)),"◆","")</f>
        <v/>
      </c>
      <c r="DD30" s="57" t="str">
        <f aca="false">IF(AND(DD$7=$I30,ISNUMBER($I30)),"◆","")</f>
        <v/>
      </c>
      <c r="DE30" s="57" t="str">
        <f aca="false">IF(AND(DE$7=$I30,ISNUMBER($I30)),"◆","")</f>
        <v/>
      </c>
      <c r="DF30" s="57" t="str">
        <f aca="false">IF(AND(DF$7=$I30,ISNUMBER($I30)),"◆","")</f>
        <v>◆</v>
      </c>
      <c r="DG30" s="57" t="str">
        <f aca="false">IF(AND(DG$7=$I30,ISNUMBER($I30)),"◆","")</f>
        <v/>
      </c>
      <c r="DH30" s="57" t="str">
        <f aca="false">IF(AND(DH$7=$I30,ISNUMBER($I30)),"◆","")</f>
        <v/>
      </c>
      <c r="DI30" s="57" t="str">
        <f aca="false">IF(AND(DI$7=$I30,ISNUMBER($I30)),"◆","")</f>
        <v/>
      </c>
      <c r="DJ30" s="57" t="str">
        <f aca="false">IF(AND(DJ$7=$I30,ISNUMBER($I30)),"◆","")</f>
        <v/>
      </c>
      <c r="DK30" s="57" t="str">
        <f aca="false">IF(AND(DK$7=$I30,ISNUMBER($I30)),"◆","")</f>
        <v/>
      </c>
      <c r="DL30" s="57" t="str">
        <f aca="false">IF(AND(DL$7=$I30,ISNUMBER($I30)),"◆","")</f>
        <v/>
      </c>
      <c r="DM30" s="57" t="str">
        <f aca="false">IF(AND(DM$7=$I30,ISNUMBER($I30)),"◆","")</f>
        <v/>
      </c>
      <c r="DN30" s="57" t="str">
        <f aca="false">IF(AND(DN$7=$I30,ISNUMBER($I30)),"◆","")</f>
        <v/>
      </c>
      <c r="DO30" s="57" t="str">
        <f aca="false">IF(AND(DO$7=$I30,ISNUMBER($I30)),"◆","")</f>
        <v/>
      </c>
      <c r="DP30" s="57" t="str">
        <f aca="false">IF(AND(DP$7=$I30,ISNUMBER($I30)),"◆","")</f>
        <v/>
      </c>
      <c r="DQ30" s="57" t="str">
        <f aca="false">IF(AND(DQ$7=$I30,ISNUMBER($I30)),"◆","")</f>
        <v/>
      </c>
      <c r="DR30" s="57" t="str">
        <f aca="false">IF(AND(DR$7=$I30,ISNUMBER($I30)),"◆","")</f>
        <v/>
      </c>
      <c r="DS30" s="57" t="str">
        <f aca="false">IF(AND(DS$7=$I30,ISNUMBER($I30)),"◆","")</f>
        <v/>
      </c>
      <c r="DT30" s="57" t="str">
        <f aca="false">IF(AND(DT$7=$I30,ISNUMBER($I30)),"◆","")</f>
        <v/>
      </c>
      <c r="DU30" s="57" t="str">
        <f aca="false">IF(AND(DU$7=$I30,ISNUMBER($I30)),"◆","")</f>
        <v/>
      </c>
      <c r="DV30" s="57" t="str">
        <f aca="false">IF(AND(DV$7=$I30,ISNUMBER($I30)),"◆","")</f>
        <v/>
      </c>
      <c r="DW30" s="57" t="str">
        <f aca="false">IF(AND(DW$7=$I30,ISNUMBER($I30)),"◆","")</f>
        <v/>
      </c>
      <c r="DX30" s="57" t="str">
        <f aca="false">IF(AND(DX$7=$I30,ISNUMBER($I30)),"◆","")</f>
        <v/>
      </c>
      <c r="DY30" s="57" t="str">
        <f aca="false">IF(AND(DY$7=$I30,ISNUMBER($I30)),"◆","")</f>
        <v/>
      </c>
      <c r="DZ30" s="57" t="str">
        <f aca="false">IF(AND(DZ$7=$I30,ISNUMBER($I30)),"◆","")</f>
        <v/>
      </c>
      <c r="EA30" s="57" t="str">
        <f aca="false">IF(AND(EA$7=$I30,ISNUMBER($I30)),"◆","")</f>
        <v/>
      </c>
      <c r="EB30" s="57" t="str">
        <f aca="false">IF(AND(EB$7=$I30,ISNUMBER($I30)),"◆","")</f>
        <v/>
      </c>
      <c r="EC30" s="57" t="str">
        <f aca="false">IF(AND(EC$7=$I30,ISNUMBER($I30)),"◆","")</f>
        <v/>
      </c>
      <c r="ED30" s="57" t="str">
        <f aca="false">IF(AND(ED$7=$I30,ISNUMBER($I30)),"◆","")</f>
        <v/>
      </c>
      <c r="EE30" s="57" t="str">
        <f aca="false">IF(AND(EE$7=$I30,ISNUMBER($I30)),"◆","")</f>
        <v/>
      </c>
      <c r="EF30" s="57" t="str">
        <f aca="false">IF(AND(EF$7=$I30,ISNUMBER($I30)),"◆","")</f>
        <v/>
      </c>
      <c r="EG30" s="57" t="str">
        <f aca="false">IF(AND(EG$7=$I30,ISNUMBER($I30)),"◆","")</f>
        <v/>
      </c>
      <c r="EH30" s="57" t="str">
        <f aca="false">IF(AND(EH$7=$I30,ISNUMBER($I30)),"◆","")</f>
        <v/>
      </c>
      <c r="EI30" s="57" t="str">
        <f aca="false">IF(AND(EI$7=$I30,ISNUMBER($I30)),"◆","")</f>
        <v/>
      </c>
      <c r="EJ30" s="57" t="str">
        <f aca="false">IF(AND(EJ$7=$I30,ISNUMBER($I30)),"◆","")</f>
        <v/>
      </c>
      <c r="EK30" s="57" t="str">
        <f aca="false">IF(AND(EK$7=$I30,ISNUMBER($I30)),"◆","")</f>
        <v/>
      </c>
      <c r="EL30" s="57" t="str">
        <f aca="false">IF(AND(EL$7=$I30,ISNUMBER($I30)),"◆","")</f>
        <v/>
      </c>
      <c r="EM30" s="57" t="str">
        <f aca="false">IF(AND(EM$7=$I30,ISNUMBER($I30)),"◆","")</f>
        <v/>
      </c>
      <c r="EN30" s="57" t="str">
        <f aca="false">IF(AND(EN$7=$I30,ISNUMBER($I30)),"◆","")</f>
        <v/>
      </c>
      <c r="EO30" s="57" t="str">
        <f aca="false">IF(AND(EO$7=$I30,ISNUMBER($I30)),"◆","")</f>
        <v/>
      </c>
      <c r="EP30" s="57" t="str">
        <f aca="false">IF(AND(EP$7=$I30,ISNUMBER($I30)),"◆","")</f>
        <v/>
      </c>
      <c r="EQ30" s="57" t="str">
        <f aca="false">IF(AND(EQ$7=$I30,ISNUMBER($I30)),"◆","")</f>
        <v/>
      </c>
      <c r="ER30" s="57" t="str">
        <f aca="false">IF(AND(ER$7=$I30,ISNUMBER($I30)),"◆","")</f>
        <v/>
      </c>
      <c r="ES30" s="57" t="str">
        <f aca="false">IF(AND(ES$7=$I30,ISNUMBER($I30)),"◆","")</f>
        <v/>
      </c>
      <c r="ET30" s="57" t="str">
        <f aca="false">IF(AND(ET$7=$I30,ISNUMBER($I30)),"◆","")</f>
        <v/>
      </c>
      <c r="EU30" s="57" t="str">
        <f aca="false">IF(AND(EU$7=$I30,ISNUMBER($I30)),"◆","")</f>
        <v/>
      </c>
      <c r="EV30" s="57" t="str">
        <f aca="false">IF(AND(EV$7=$I30,ISNUMBER($I30)),"◆","")</f>
        <v/>
      </c>
      <c r="EW30" s="57" t="str">
        <f aca="false">IF(AND(EW$7=$I30,ISNUMBER($I30)),"◆","")</f>
        <v/>
      </c>
      <c r="EX30" s="57" t="str">
        <f aca="false">IF(AND(EX$7=$I30,ISNUMBER($I30)),"◆","")</f>
        <v/>
      </c>
      <c r="EY30" s="57" t="str">
        <f aca="false">IF(AND(EY$7=$I30,ISNUMBER($I30)),"◆","")</f>
        <v/>
      </c>
      <c r="EZ30" s="57" t="str">
        <f aca="false">IF(AND(EZ$7=$I30,ISNUMBER($I30)),"◆","")</f>
        <v/>
      </c>
      <c r="FA30" s="57" t="str">
        <f aca="false">IF(AND(FA$7=$I30,ISNUMBER($I30)),"◆","")</f>
        <v/>
      </c>
      <c r="FB30" s="57" t="str">
        <f aca="false">IF(AND(FB$7=$I30,ISNUMBER($I30)),"◆","")</f>
        <v/>
      </c>
      <c r="FC30" s="57" t="str">
        <f aca="false">IF(AND(FC$7=$I30,ISNUMBER($I30)),"◆","")</f>
        <v/>
      </c>
      <c r="FD30" s="57" t="str">
        <f aca="false">IF(AND(FD$7=$I30,ISNUMBER($I30)),"◆","")</f>
        <v/>
      </c>
      <c r="FE30" s="57" t="str">
        <f aca="false">IF(AND(FE$7=$I30,ISNUMBER($I30)),"◆","")</f>
        <v/>
      </c>
      <c r="FF30" s="57" t="str">
        <f aca="false">IF(AND(FF$7=$I30,ISNUMBER($I30)),"◆","")</f>
        <v/>
      </c>
      <c r="FG30" s="57" t="str">
        <f aca="false">IF(AND(FG$7=$I30,ISNUMBER($I30)),"◆","")</f>
        <v/>
      </c>
      <c r="FH30" s="57" t="str">
        <f aca="false">IF(AND(FH$7=$I30,ISNUMBER($I30)),"◆","")</f>
        <v/>
      </c>
      <c r="FI30" s="57" t="str">
        <f aca="false">IF(AND(FI$7=$I30,ISNUMBER($I30)),"◆","")</f>
        <v/>
      </c>
      <c r="FJ30" s="57" t="str">
        <f aca="false">IF(AND(FJ$7=$I30,ISNUMBER($I30)),"◆","")</f>
        <v/>
      </c>
      <c r="FK30" s="57" t="str">
        <f aca="false">IF(AND(FK$7=$I30,ISNUMBER($I30)),"◆","")</f>
        <v/>
      </c>
      <c r="FL30" s="57" t="str">
        <f aca="false">IF(AND(FL$7=$I30,ISNUMBER($I30)),"◆","")</f>
        <v/>
      </c>
      <c r="FM30" s="57" t="str">
        <f aca="false">IF(AND(FM$7=$I30,ISNUMBER($I30)),"◆","")</f>
        <v/>
      </c>
      <c r="FN30" s="57" t="str">
        <f aca="false">IF(AND(FN$7=$I30,ISNUMBER($I30)),"◆","")</f>
        <v/>
      </c>
      <c r="FO30" s="57" t="str">
        <f aca="false">IF(AND(FO$7=$I30,ISNUMBER($I30)),"◆","")</f>
        <v/>
      </c>
      <c r="FP30" s="57" t="str">
        <f aca="false">IF(AND(FP$7=$I30,ISNUMBER($I30)),"◆","")</f>
        <v/>
      </c>
      <c r="FQ30" s="57" t="str">
        <f aca="false">IF(AND(FQ$7=$I30,ISNUMBER($I30)),"◆","")</f>
        <v/>
      </c>
      <c r="FR30" s="57" t="str">
        <f aca="false">IF(AND(FR$7=$I30,ISNUMBER($I30)),"◆","")</f>
        <v/>
      </c>
      <c r="FS30" s="57" t="str">
        <f aca="false">IF(AND(FS$7=$I30,ISNUMBER($I30)),"◆","")</f>
        <v/>
      </c>
      <c r="FT30" s="57" t="str">
        <f aca="false">IF(AND(FT$7=$I30,ISNUMBER($I30)),"◆","")</f>
        <v/>
      </c>
      <c r="FU30" s="57" t="str">
        <f aca="false">IF(AND(FU$7=$I30,ISNUMBER($I30)),"◆","")</f>
        <v/>
      </c>
      <c r="FV30" s="57" t="str">
        <f aca="false">IF(AND(FV$7=$I30,ISNUMBER($I30)),"◆","")</f>
        <v/>
      </c>
    </row>
    <row r="31" customFormat="false" ht="25.5" hidden="false" customHeight="true" outlineLevel="0" collapsed="false">
      <c r="A31" s="50" t="str">
        <f aca="false">制作工程表!A26</f>
        <v>T18</v>
      </c>
      <c r="B31" s="51" t="str">
        <f aca="false">制作工程表!B26</f>
        <v>原稿確定</v>
      </c>
      <c r="C31" s="52" t="str">
        <f aca="false">制作工程表!C26</f>
        <v>原稿の修正・確定</v>
      </c>
      <c r="D31" s="53" t="str">
        <f aca="false">制作工程表!D26</f>
        <v>ライター・編集ディレクター</v>
      </c>
      <c r="E31" s="53" t="str">
        <f aca="false">制作工程表!E26</f>
        <v>—</v>
      </c>
      <c r="F31" s="54" t="str">
        <f aca="false">IF(制作工程表!B26="取材撮影","撮影",IF(OR(制作工程表!D26="広報窓口",制作工程表!D26="代表",制作工程表!D26="技術営業課",制作工程表!D26="品質管理課",制作工程表!D26="製造部"),"企業","制作"))</f>
        <v>制作</v>
      </c>
      <c r="G31" s="55" t="n">
        <f aca="false">制作工程表!G26</f>
        <v>46428</v>
      </c>
      <c r="H31" s="55" t="n">
        <f aca="false">制作工程表!H26</f>
        <v>46434</v>
      </c>
      <c r="I31" s="56" t="str">
        <f aca="false">制作工程表!I26</f>
        <v>—</v>
      </c>
      <c r="J31" s="51" t="str">
        <f aca="false">制作工程表!K26</f>
        <v>未着手</v>
      </c>
      <c r="K31" s="57" t="str">
        <f aca="false">IF(AND(K$7=$I31,ISNUMBER($I31)),"◆","")</f>
        <v/>
      </c>
      <c r="L31" s="57" t="str">
        <f aca="false">IF(AND(L$7=$I31,ISNUMBER($I31)),"◆","")</f>
        <v/>
      </c>
      <c r="M31" s="57" t="str">
        <f aca="false">IF(AND(M$7=$I31,ISNUMBER($I31)),"◆","")</f>
        <v/>
      </c>
      <c r="N31" s="57" t="str">
        <f aca="false">IF(AND(N$7=$I31,ISNUMBER($I31)),"◆","")</f>
        <v/>
      </c>
      <c r="O31" s="57" t="str">
        <f aca="false">IF(AND(O$7=$I31,ISNUMBER($I31)),"◆","")</f>
        <v/>
      </c>
      <c r="P31" s="57" t="str">
        <f aca="false">IF(AND(P$7=$I31,ISNUMBER($I31)),"◆","")</f>
        <v/>
      </c>
      <c r="Q31" s="57" t="str">
        <f aca="false">IF(AND(Q$7=$I31,ISNUMBER($I31)),"◆","")</f>
        <v/>
      </c>
      <c r="R31" s="57" t="str">
        <f aca="false">IF(AND(R$7=$I31,ISNUMBER($I31)),"◆","")</f>
        <v/>
      </c>
      <c r="S31" s="57" t="str">
        <f aca="false">IF(AND(S$7=$I31,ISNUMBER($I31)),"◆","")</f>
        <v/>
      </c>
      <c r="T31" s="57" t="str">
        <f aca="false">IF(AND(T$7=$I31,ISNUMBER($I31)),"◆","")</f>
        <v/>
      </c>
      <c r="U31" s="57" t="str">
        <f aca="false">IF(AND(U$7=$I31,ISNUMBER($I31)),"◆","")</f>
        <v/>
      </c>
      <c r="V31" s="57" t="str">
        <f aca="false">IF(AND(V$7=$I31,ISNUMBER($I31)),"◆","")</f>
        <v/>
      </c>
      <c r="W31" s="57" t="str">
        <f aca="false">IF(AND(W$7=$I31,ISNUMBER($I31)),"◆","")</f>
        <v/>
      </c>
      <c r="X31" s="57" t="str">
        <f aca="false">IF(AND(X$7=$I31,ISNUMBER($I31)),"◆","")</f>
        <v/>
      </c>
      <c r="Y31" s="57" t="str">
        <f aca="false">IF(AND(Y$7=$I31,ISNUMBER($I31)),"◆","")</f>
        <v/>
      </c>
      <c r="Z31" s="57" t="str">
        <f aca="false">IF(AND(Z$7=$I31,ISNUMBER($I31)),"◆","")</f>
        <v/>
      </c>
      <c r="AA31" s="57" t="str">
        <f aca="false">IF(AND(AA$7=$I31,ISNUMBER($I31)),"◆","")</f>
        <v/>
      </c>
      <c r="AB31" s="57" t="str">
        <f aca="false">IF(AND(AB$7=$I31,ISNUMBER($I31)),"◆","")</f>
        <v/>
      </c>
      <c r="AC31" s="57" t="str">
        <f aca="false">IF(AND(AC$7=$I31,ISNUMBER($I31)),"◆","")</f>
        <v/>
      </c>
      <c r="AD31" s="57" t="str">
        <f aca="false">IF(AND(AD$7=$I31,ISNUMBER($I31)),"◆","")</f>
        <v/>
      </c>
      <c r="AE31" s="57" t="str">
        <f aca="false">IF(AND(AE$7=$I31,ISNUMBER($I31)),"◆","")</f>
        <v/>
      </c>
      <c r="AF31" s="57" t="str">
        <f aca="false">IF(AND(AF$7=$I31,ISNUMBER($I31)),"◆","")</f>
        <v/>
      </c>
      <c r="AG31" s="57" t="str">
        <f aca="false">IF(AND(AG$7=$I31,ISNUMBER($I31)),"◆","")</f>
        <v/>
      </c>
      <c r="AH31" s="57" t="str">
        <f aca="false">IF(AND(AH$7=$I31,ISNUMBER($I31)),"◆","")</f>
        <v/>
      </c>
      <c r="AI31" s="57" t="str">
        <f aca="false">IF(AND(AI$7=$I31,ISNUMBER($I31)),"◆","")</f>
        <v/>
      </c>
      <c r="AJ31" s="57" t="str">
        <f aca="false">IF(AND(AJ$7=$I31,ISNUMBER($I31)),"◆","")</f>
        <v/>
      </c>
      <c r="AK31" s="57" t="str">
        <f aca="false">IF(AND(AK$7=$I31,ISNUMBER($I31)),"◆","")</f>
        <v/>
      </c>
      <c r="AL31" s="57" t="str">
        <f aca="false">IF(AND(AL$7=$I31,ISNUMBER($I31)),"◆","")</f>
        <v/>
      </c>
      <c r="AM31" s="57" t="str">
        <f aca="false">IF(AND(AM$7=$I31,ISNUMBER($I31)),"◆","")</f>
        <v/>
      </c>
      <c r="AN31" s="57" t="str">
        <f aca="false">IF(AND(AN$7=$I31,ISNUMBER($I31)),"◆","")</f>
        <v/>
      </c>
      <c r="AO31" s="57" t="str">
        <f aca="false">IF(AND(AO$7=$I31,ISNUMBER($I31)),"◆","")</f>
        <v/>
      </c>
      <c r="AP31" s="57" t="str">
        <f aca="false">IF(AND(AP$7=$I31,ISNUMBER($I31)),"◆","")</f>
        <v/>
      </c>
      <c r="AQ31" s="57" t="str">
        <f aca="false">IF(AND(AQ$7=$I31,ISNUMBER($I31)),"◆","")</f>
        <v/>
      </c>
      <c r="AR31" s="57" t="str">
        <f aca="false">IF(AND(AR$7=$I31,ISNUMBER($I31)),"◆","")</f>
        <v/>
      </c>
      <c r="AS31" s="57" t="str">
        <f aca="false">IF(AND(AS$7=$I31,ISNUMBER($I31)),"◆","")</f>
        <v/>
      </c>
      <c r="AT31" s="57" t="str">
        <f aca="false">IF(AND(AT$7=$I31,ISNUMBER($I31)),"◆","")</f>
        <v/>
      </c>
      <c r="AU31" s="57" t="str">
        <f aca="false">IF(AND(AU$7=$I31,ISNUMBER($I31)),"◆","")</f>
        <v/>
      </c>
      <c r="AV31" s="57" t="str">
        <f aca="false">IF(AND(AV$7=$I31,ISNUMBER($I31)),"◆","")</f>
        <v/>
      </c>
      <c r="AW31" s="57" t="str">
        <f aca="false">IF(AND(AW$7=$I31,ISNUMBER($I31)),"◆","")</f>
        <v/>
      </c>
      <c r="AX31" s="57" t="str">
        <f aca="false">IF(AND(AX$7=$I31,ISNUMBER($I31)),"◆","")</f>
        <v/>
      </c>
      <c r="AY31" s="57" t="str">
        <f aca="false">IF(AND(AY$7=$I31,ISNUMBER($I31)),"◆","")</f>
        <v/>
      </c>
      <c r="AZ31" s="57" t="str">
        <f aca="false">IF(AND(AZ$7=$I31,ISNUMBER($I31)),"◆","")</f>
        <v/>
      </c>
      <c r="BA31" s="57" t="str">
        <f aca="false">IF(AND(BA$7=$I31,ISNUMBER($I31)),"◆","")</f>
        <v/>
      </c>
      <c r="BB31" s="57" t="str">
        <f aca="false">IF(AND(BB$7=$I31,ISNUMBER($I31)),"◆","")</f>
        <v/>
      </c>
      <c r="BC31" s="57" t="str">
        <f aca="false">IF(AND(BC$7=$I31,ISNUMBER($I31)),"◆","")</f>
        <v/>
      </c>
      <c r="BD31" s="57" t="str">
        <f aca="false">IF(AND(BD$7=$I31,ISNUMBER($I31)),"◆","")</f>
        <v/>
      </c>
      <c r="BE31" s="57" t="str">
        <f aca="false">IF(AND(BE$7=$I31,ISNUMBER($I31)),"◆","")</f>
        <v/>
      </c>
      <c r="BF31" s="57" t="str">
        <f aca="false">IF(AND(BF$7=$I31,ISNUMBER($I31)),"◆","")</f>
        <v/>
      </c>
      <c r="BG31" s="57" t="str">
        <f aca="false">IF(AND(BG$7=$I31,ISNUMBER($I31)),"◆","")</f>
        <v/>
      </c>
      <c r="BH31" s="57" t="str">
        <f aca="false">IF(AND(BH$7=$I31,ISNUMBER($I31)),"◆","")</f>
        <v/>
      </c>
      <c r="BI31" s="57" t="str">
        <f aca="false">IF(AND(BI$7=$I31,ISNUMBER($I31)),"◆","")</f>
        <v/>
      </c>
      <c r="BJ31" s="57" t="str">
        <f aca="false">IF(AND(BJ$7=$I31,ISNUMBER($I31)),"◆","")</f>
        <v/>
      </c>
      <c r="BK31" s="57" t="str">
        <f aca="false">IF(AND(BK$7=$I31,ISNUMBER($I31)),"◆","")</f>
        <v/>
      </c>
      <c r="BL31" s="57" t="str">
        <f aca="false">IF(AND(BL$7=$I31,ISNUMBER($I31)),"◆","")</f>
        <v/>
      </c>
      <c r="BM31" s="57" t="str">
        <f aca="false">IF(AND(BM$7=$I31,ISNUMBER($I31)),"◆","")</f>
        <v/>
      </c>
      <c r="BN31" s="57" t="str">
        <f aca="false">IF(AND(BN$7=$I31,ISNUMBER($I31)),"◆","")</f>
        <v/>
      </c>
      <c r="BO31" s="57" t="str">
        <f aca="false">IF(AND(BO$7=$I31,ISNUMBER($I31)),"◆","")</f>
        <v/>
      </c>
      <c r="BP31" s="57" t="str">
        <f aca="false">IF(AND(BP$7=$I31,ISNUMBER($I31)),"◆","")</f>
        <v/>
      </c>
      <c r="BQ31" s="57" t="str">
        <f aca="false">IF(AND(BQ$7=$I31,ISNUMBER($I31)),"◆","")</f>
        <v/>
      </c>
      <c r="BR31" s="57" t="str">
        <f aca="false">IF(AND(BR$7=$I31,ISNUMBER($I31)),"◆","")</f>
        <v/>
      </c>
      <c r="BS31" s="57" t="str">
        <f aca="false">IF(AND(BS$7=$I31,ISNUMBER($I31)),"◆","")</f>
        <v/>
      </c>
      <c r="BT31" s="57" t="str">
        <f aca="false">IF(AND(BT$7=$I31,ISNUMBER($I31)),"◆","")</f>
        <v/>
      </c>
      <c r="BU31" s="57" t="str">
        <f aca="false">IF(AND(BU$7=$I31,ISNUMBER($I31)),"◆","")</f>
        <v/>
      </c>
      <c r="BV31" s="57" t="str">
        <f aca="false">IF(AND(BV$7=$I31,ISNUMBER($I31)),"◆","")</f>
        <v/>
      </c>
      <c r="BW31" s="57" t="str">
        <f aca="false">IF(AND(BW$7=$I31,ISNUMBER($I31)),"◆","")</f>
        <v/>
      </c>
      <c r="BX31" s="57" t="str">
        <f aca="false">IF(AND(BX$7=$I31,ISNUMBER($I31)),"◆","")</f>
        <v/>
      </c>
      <c r="BY31" s="57" t="str">
        <f aca="false">IF(AND(BY$7=$I31,ISNUMBER($I31)),"◆","")</f>
        <v/>
      </c>
      <c r="BZ31" s="57" t="str">
        <f aca="false">IF(AND(BZ$7=$I31,ISNUMBER($I31)),"◆","")</f>
        <v/>
      </c>
      <c r="CA31" s="57" t="str">
        <f aca="false">IF(AND(CA$7=$I31,ISNUMBER($I31)),"◆","")</f>
        <v/>
      </c>
      <c r="CB31" s="57" t="str">
        <f aca="false">IF(AND(CB$7=$I31,ISNUMBER($I31)),"◆","")</f>
        <v/>
      </c>
      <c r="CC31" s="57" t="str">
        <f aca="false">IF(AND(CC$7=$I31,ISNUMBER($I31)),"◆","")</f>
        <v/>
      </c>
      <c r="CD31" s="57" t="str">
        <f aca="false">IF(AND(CD$7=$I31,ISNUMBER($I31)),"◆","")</f>
        <v/>
      </c>
      <c r="CE31" s="57" t="str">
        <f aca="false">IF(AND(CE$7=$I31,ISNUMBER($I31)),"◆","")</f>
        <v/>
      </c>
      <c r="CF31" s="57" t="str">
        <f aca="false">IF(AND(CF$7=$I31,ISNUMBER($I31)),"◆","")</f>
        <v/>
      </c>
      <c r="CG31" s="57" t="str">
        <f aca="false">IF(AND(CG$7=$I31,ISNUMBER($I31)),"◆","")</f>
        <v/>
      </c>
      <c r="CH31" s="57" t="str">
        <f aca="false">IF(AND(CH$7=$I31,ISNUMBER($I31)),"◆","")</f>
        <v/>
      </c>
      <c r="CI31" s="57" t="str">
        <f aca="false">IF(AND(CI$7=$I31,ISNUMBER($I31)),"◆","")</f>
        <v/>
      </c>
      <c r="CJ31" s="57" t="str">
        <f aca="false">IF(AND(CJ$7=$I31,ISNUMBER($I31)),"◆","")</f>
        <v/>
      </c>
      <c r="CK31" s="57" t="str">
        <f aca="false">IF(AND(CK$7=$I31,ISNUMBER($I31)),"◆","")</f>
        <v/>
      </c>
      <c r="CL31" s="57" t="str">
        <f aca="false">IF(AND(CL$7=$I31,ISNUMBER($I31)),"◆","")</f>
        <v/>
      </c>
      <c r="CM31" s="57" t="str">
        <f aca="false">IF(AND(CM$7=$I31,ISNUMBER($I31)),"◆","")</f>
        <v/>
      </c>
      <c r="CN31" s="57" t="str">
        <f aca="false">IF(AND(CN$7=$I31,ISNUMBER($I31)),"◆","")</f>
        <v/>
      </c>
      <c r="CO31" s="57" t="str">
        <f aca="false">IF(AND(CO$7=$I31,ISNUMBER($I31)),"◆","")</f>
        <v/>
      </c>
      <c r="CP31" s="57" t="str">
        <f aca="false">IF(AND(CP$7=$I31,ISNUMBER($I31)),"◆","")</f>
        <v/>
      </c>
      <c r="CQ31" s="57" t="str">
        <f aca="false">IF(AND(CQ$7=$I31,ISNUMBER($I31)),"◆","")</f>
        <v/>
      </c>
      <c r="CR31" s="57" t="str">
        <f aca="false">IF(AND(CR$7=$I31,ISNUMBER($I31)),"◆","")</f>
        <v/>
      </c>
      <c r="CS31" s="57" t="str">
        <f aca="false">IF(AND(CS$7=$I31,ISNUMBER($I31)),"◆","")</f>
        <v/>
      </c>
      <c r="CT31" s="57" t="str">
        <f aca="false">IF(AND(CT$7=$I31,ISNUMBER($I31)),"◆","")</f>
        <v/>
      </c>
      <c r="CU31" s="57" t="str">
        <f aca="false">IF(AND(CU$7=$I31,ISNUMBER($I31)),"◆","")</f>
        <v/>
      </c>
      <c r="CV31" s="57" t="str">
        <f aca="false">IF(AND(CV$7=$I31,ISNUMBER($I31)),"◆","")</f>
        <v/>
      </c>
      <c r="CW31" s="57" t="str">
        <f aca="false">IF(AND(CW$7=$I31,ISNUMBER($I31)),"◆","")</f>
        <v/>
      </c>
      <c r="CX31" s="57" t="str">
        <f aca="false">IF(AND(CX$7=$I31,ISNUMBER($I31)),"◆","")</f>
        <v/>
      </c>
      <c r="CY31" s="57" t="str">
        <f aca="false">IF(AND(CY$7=$I31,ISNUMBER($I31)),"◆","")</f>
        <v/>
      </c>
      <c r="CZ31" s="57" t="str">
        <f aca="false">IF(AND(CZ$7=$I31,ISNUMBER($I31)),"◆","")</f>
        <v/>
      </c>
      <c r="DA31" s="57" t="str">
        <f aca="false">IF(AND(DA$7=$I31,ISNUMBER($I31)),"◆","")</f>
        <v/>
      </c>
      <c r="DB31" s="57" t="str">
        <f aca="false">IF(AND(DB$7=$I31,ISNUMBER($I31)),"◆","")</f>
        <v/>
      </c>
      <c r="DC31" s="57" t="str">
        <f aca="false">IF(AND(DC$7=$I31,ISNUMBER($I31)),"◆","")</f>
        <v/>
      </c>
      <c r="DD31" s="57" t="str">
        <f aca="false">IF(AND(DD$7=$I31,ISNUMBER($I31)),"◆","")</f>
        <v/>
      </c>
      <c r="DE31" s="57" t="str">
        <f aca="false">IF(AND(DE$7=$I31,ISNUMBER($I31)),"◆","")</f>
        <v/>
      </c>
      <c r="DF31" s="57" t="str">
        <f aca="false">IF(AND(DF$7=$I31,ISNUMBER($I31)),"◆","")</f>
        <v/>
      </c>
      <c r="DG31" s="57" t="str">
        <f aca="false">IF(AND(DG$7=$I31,ISNUMBER($I31)),"◆","")</f>
        <v/>
      </c>
      <c r="DH31" s="57" t="str">
        <f aca="false">IF(AND(DH$7=$I31,ISNUMBER($I31)),"◆","")</f>
        <v/>
      </c>
      <c r="DI31" s="57" t="str">
        <f aca="false">IF(AND(DI$7=$I31,ISNUMBER($I31)),"◆","")</f>
        <v/>
      </c>
      <c r="DJ31" s="57" t="str">
        <f aca="false">IF(AND(DJ$7=$I31,ISNUMBER($I31)),"◆","")</f>
        <v/>
      </c>
      <c r="DK31" s="57" t="str">
        <f aca="false">IF(AND(DK$7=$I31,ISNUMBER($I31)),"◆","")</f>
        <v/>
      </c>
      <c r="DL31" s="57" t="str">
        <f aca="false">IF(AND(DL$7=$I31,ISNUMBER($I31)),"◆","")</f>
        <v/>
      </c>
      <c r="DM31" s="57" t="str">
        <f aca="false">IF(AND(DM$7=$I31,ISNUMBER($I31)),"◆","")</f>
        <v/>
      </c>
      <c r="DN31" s="57" t="str">
        <f aca="false">IF(AND(DN$7=$I31,ISNUMBER($I31)),"◆","")</f>
        <v/>
      </c>
      <c r="DO31" s="57" t="str">
        <f aca="false">IF(AND(DO$7=$I31,ISNUMBER($I31)),"◆","")</f>
        <v/>
      </c>
      <c r="DP31" s="57" t="str">
        <f aca="false">IF(AND(DP$7=$I31,ISNUMBER($I31)),"◆","")</f>
        <v/>
      </c>
      <c r="DQ31" s="57" t="str">
        <f aca="false">IF(AND(DQ$7=$I31,ISNUMBER($I31)),"◆","")</f>
        <v/>
      </c>
      <c r="DR31" s="57" t="str">
        <f aca="false">IF(AND(DR$7=$I31,ISNUMBER($I31)),"◆","")</f>
        <v/>
      </c>
      <c r="DS31" s="57" t="str">
        <f aca="false">IF(AND(DS$7=$I31,ISNUMBER($I31)),"◆","")</f>
        <v/>
      </c>
      <c r="DT31" s="57" t="str">
        <f aca="false">IF(AND(DT$7=$I31,ISNUMBER($I31)),"◆","")</f>
        <v/>
      </c>
      <c r="DU31" s="57" t="str">
        <f aca="false">IF(AND(DU$7=$I31,ISNUMBER($I31)),"◆","")</f>
        <v/>
      </c>
      <c r="DV31" s="57" t="str">
        <f aca="false">IF(AND(DV$7=$I31,ISNUMBER($I31)),"◆","")</f>
        <v/>
      </c>
      <c r="DW31" s="57" t="str">
        <f aca="false">IF(AND(DW$7=$I31,ISNUMBER($I31)),"◆","")</f>
        <v/>
      </c>
      <c r="DX31" s="57" t="str">
        <f aca="false">IF(AND(DX$7=$I31,ISNUMBER($I31)),"◆","")</f>
        <v/>
      </c>
      <c r="DY31" s="57" t="str">
        <f aca="false">IF(AND(DY$7=$I31,ISNUMBER($I31)),"◆","")</f>
        <v/>
      </c>
      <c r="DZ31" s="57" t="str">
        <f aca="false">IF(AND(DZ$7=$I31,ISNUMBER($I31)),"◆","")</f>
        <v/>
      </c>
      <c r="EA31" s="57" t="str">
        <f aca="false">IF(AND(EA$7=$I31,ISNUMBER($I31)),"◆","")</f>
        <v/>
      </c>
      <c r="EB31" s="57" t="str">
        <f aca="false">IF(AND(EB$7=$I31,ISNUMBER($I31)),"◆","")</f>
        <v/>
      </c>
      <c r="EC31" s="57" t="str">
        <f aca="false">IF(AND(EC$7=$I31,ISNUMBER($I31)),"◆","")</f>
        <v/>
      </c>
      <c r="ED31" s="57" t="str">
        <f aca="false">IF(AND(ED$7=$I31,ISNUMBER($I31)),"◆","")</f>
        <v/>
      </c>
      <c r="EE31" s="57" t="str">
        <f aca="false">IF(AND(EE$7=$I31,ISNUMBER($I31)),"◆","")</f>
        <v/>
      </c>
      <c r="EF31" s="57" t="str">
        <f aca="false">IF(AND(EF$7=$I31,ISNUMBER($I31)),"◆","")</f>
        <v/>
      </c>
      <c r="EG31" s="57" t="str">
        <f aca="false">IF(AND(EG$7=$I31,ISNUMBER($I31)),"◆","")</f>
        <v/>
      </c>
      <c r="EH31" s="57" t="str">
        <f aca="false">IF(AND(EH$7=$I31,ISNUMBER($I31)),"◆","")</f>
        <v/>
      </c>
      <c r="EI31" s="57" t="str">
        <f aca="false">IF(AND(EI$7=$I31,ISNUMBER($I31)),"◆","")</f>
        <v/>
      </c>
      <c r="EJ31" s="57" t="str">
        <f aca="false">IF(AND(EJ$7=$I31,ISNUMBER($I31)),"◆","")</f>
        <v/>
      </c>
      <c r="EK31" s="57" t="str">
        <f aca="false">IF(AND(EK$7=$I31,ISNUMBER($I31)),"◆","")</f>
        <v/>
      </c>
      <c r="EL31" s="57" t="str">
        <f aca="false">IF(AND(EL$7=$I31,ISNUMBER($I31)),"◆","")</f>
        <v/>
      </c>
      <c r="EM31" s="57" t="str">
        <f aca="false">IF(AND(EM$7=$I31,ISNUMBER($I31)),"◆","")</f>
        <v/>
      </c>
      <c r="EN31" s="57" t="str">
        <f aca="false">IF(AND(EN$7=$I31,ISNUMBER($I31)),"◆","")</f>
        <v/>
      </c>
      <c r="EO31" s="57" t="str">
        <f aca="false">IF(AND(EO$7=$I31,ISNUMBER($I31)),"◆","")</f>
        <v/>
      </c>
      <c r="EP31" s="57" t="str">
        <f aca="false">IF(AND(EP$7=$I31,ISNUMBER($I31)),"◆","")</f>
        <v/>
      </c>
      <c r="EQ31" s="57" t="str">
        <f aca="false">IF(AND(EQ$7=$I31,ISNUMBER($I31)),"◆","")</f>
        <v/>
      </c>
      <c r="ER31" s="57" t="str">
        <f aca="false">IF(AND(ER$7=$I31,ISNUMBER($I31)),"◆","")</f>
        <v/>
      </c>
      <c r="ES31" s="57" t="str">
        <f aca="false">IF(AND(ES$7=$I31,ISNUMBER($I31)),"◆","")</f>
        <v/>
      </c>
      <c r="ET31" s="57" t="str">
        <f aca="false">IF(AND(ET$7=$I31,ISNUMBER($I31)),"◆","")</f>
        <v/>
      </c>
      <c r="EU31" s="57" t="str">
        <f aca="false">IF(AND(EU$7=$I31,ISNUMBER($I31)),"◆","")</f>
        <v/>
      </c>
      <c r="EV31" s="57" t="str">
        <f aca="false">IF(AND(EV$7=$I31,ISNUMBER($I31)),"◆","")</f>
        <v/>
      </c>
      <c r="EW31" s="57" t="str">
        <f aca="false">IF(AND(EW$7=$I31,ISNUMBER($I31)),"◆","")</f>
        <v/>
      </c>
      <c r="EX31" s="57" t="str">
        <f aca="false">IF(AND(EX$7=$I31,ISNUMBER($I31)),"◆","")</f>
        <v/>
      </c>
      <c r="EY31" s="57" t="str">
        <f aca="false">IF(AND(EY$7=$I31,ISNUMBER($I31)),"◆","")</f>
        <v/>
      </c>
      <c r="EZ31" s="57" t="str">
        <f aca="false">IF(AND(EZ$7=$I31,ISNUMBER($I31)),"◆","")</f>
        <v/>
      </c>
      <c r="FA31" s="57" t="str">
        <f aca="false">IF(AND(FA$7=$I31,ISNUMBER($I31)),"◆","")</f>
        <v/>
      </c>
      <c r="FB31" s="57" t="str">
        <f aca="false">IF(AND(FB$7=$I31,ISNUMBER($I31)),"◆","")</f>
        <v/>
      </c>
      <c r="FC31" s="57" t="str">
        <f aca="false">IF(AND(FC$7=$I31,ISNUMBER($I31)),"◆","")</f>
        <v/>
      </c>
      <c r="FD31" s="57" t="str">
        <f aca="false">IF(AND(FD$7=$I31,ISNUMBER($I31)),"◆","")</f>
        <v/>
      </c>
      <c r="FE31" s="57" t="str">
        <f aca="false">IF(AND(FE$7=$I31,ISNUMBER($I31)),"◆","")</f>
        <v/>
      </c>
      <c r="FF31" s="57" t="str">
        <f aca="false">IF(AND(FF$7=$I31,ISNUMBER($I31)),"◆","")</f>
        <v/>
      </c>
      <c r="FG31" s="57" t="str">
        <f aca="false">IF(AND(FG$7=$I31,ISNUMBER($I31)),"◆","")</f>
        <v/>
      </c>
      <c r="FH31" s="57" t="str">
        <f aca="false">IF(AND(FH$7=$I31,ISNUMBER($I31)),"◆","")</f>
        <v/>
      </c>
      <c r="FI31" s="57" t="str">
        <f aca="false">IF(AND(FI$7=$I31,ISNUMBER($I31)),"◆","")</f>
        <v/>
      </c>
      <c r="FJ31" s="57" t="str">
        <f aca="false">IF(AND(FJ$7=$I31,ISNUMBER($I31)),"◆","")</f>
        <v/>
      </c>
      <c r="FK31" s="57" t="str">
        <f aca="false">IF(AND(FK$7=$I31,ISNUMBER($I31)),"◆","")</f>
        <v/>
      </c>
      <c r="FL31" s="57" t="str">
        <f aca="false">IF(AND(FL$7=$I31,ISNUMBER($I31)),"◆","")</f>
        <v/>
      </c>
      <c r="FM31" s="57" t="str">
        <f aca="false">IF(AND(FM$7=$I31,ISNUMBER($I31)),"◆","")</f>
        <v/>
      </c>
      <c r="FN31" s="57" t="str">
        <f aca="false">IF(AND(FN$7=$I31,ISNUMBER($I31)),"◆","")</f>
        <v/>
      </c>
      <c r="FO31" s="57" t="str">
        <f aca="false">IF(AND(FO$7=$I31,ISNUMBER($I31)),"◆","")</f>
        <v/>
      </c>
      <c r="FP31" s="57" t="str">
        <f aca="false">IF(AND(FP$7=$I31,ISNUMBER($I31)),"◆","")</f>
        <v/>
      </c>
      <c r="FQ31" s="57" t="str">
        <f aca="false">IF(AND(FQ$7=$I31,ISNUMBER($I31)),"◆","")</f>
        <v/>
      </c>
      <c r="FR31" s="57" t="str">
        <f aca="false">IF(AND(FR$7=$I31,ISNUMBER($I31)),"◆","")</f>
        <v/>
      </c>
      <c r="FS31" s="57" t="str">
        <f aca="false">IF(AND(FS$7=$I31,ISNUMBER($I31)),"◆","")</f>
        <v/>
      </c>
      <c r="FT31" s="57" t="str">
        <f aca="false">IF(AND(FT$7=$I31,ISNUMBER($I31)),"◆","")</f>
        <v/>
      </c>
      <c r="FU31" s="57" t="str">
        <f aca="false">IF(AND(FU$7=$I31,ISNUMBER($I31)),"◆","")</f>
        <v/>
      </c>
      <c r="FV31" s="57" t="str">
        <f aca="false">IF(AND(FV$7=$I31,ISNUMBER($I31)),"◆","")</f>
        <v/>
      </c>
    </row>
    <row r="32" customFormat="false" ht="21.75" hidden="false" customHeight="true" outlineLevel="0" collapsed="false">
      <c r="A32" s="45" t="s">
        <v>80</v>
      </c>
      <c r="B32" s="45"/>
      <c r="C32" s="45"/>
      <c r="D32" s="45"/>
      <c r="E32" s="45"/>
      <c r="F32" s="46" t="s">
        <v>76</v>
      </c>
      <c r="G32" s="47" t="n">
        <f aca="false">MIN(制作工程表!G27:G29)</f>
        <v>46408</v>
      </c>
      <c r="H32" s="47" t="n">
        <f aca="false">MAX(制作工程表!H27:H29)</f>
        <v>46447</v>
      </c>
      <c r="I32" s="47" t="n">
        <f aca="false">IF(MAX(制作工程表!I27:I29)=0,"—",MAX(制作工程表!I27:I29))</f>
        <v>46433</v>
      </c>
      <c r="J32" s="48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  <c r="FL32" s="49"/>
      <c r="FM32" s="49"/>
      <c r="FN32" s="49"/>
      <c r="FO32" s="49"/>
      <c r="FP32" s="49"/>
      <c r="FQ32" s="49"/>
      <c r="FR32" s="49"/>
      <c r="FS32" s="49"/>
      <c r="FT32" s="49"/>
      <c r="FU32" s="49"/>
      <c r="FV32" s="49"/>
    </row>
    <row r="33" customFormat="false" ht="25.5" hidden="false" customHeight="true" outlineLevel="0" collapsed="false">
      <c r="A33" s="50" t="str">
        <f aca="false">制作工程表!A27</f>
        <v>T19</v>
      </c>
      <c r="B33" s="51" t="str">
        <f aca="false">制作工程表!B27</f>
        <v>デザイン</v>
      </c>
      <c r="C33" s="52" t="str">
        <f aca="false">制作工程表!C27</f>
        <v>トップ・代表下層のデザイン</v>
      </c>
      <c r="D33" s="53" t="str">
        <f aca="false">制作工程表!D27</f>
        <v>デザイナー</v>
      </c>
      <c r="E33" s="53" t="str">
        <f aca="false">制作工程表!E27</f>
        <v>—</v>
      </c>
      <c r="F33" s="54" t="str">
        <f aca="false">IF(制作工程表!B27="取材撮影","撮影",IF(OR(制作工程表!D27="広報窓口",制作工程表!D27="代表",制作工程表!D27="技術営業課",制作工程表!D27="品質管理課",制作工程表!D27="製造部"),"企業","制作"))</f>
        <v>制作</v>
      </c>
      <c r="G33" s="55" t="n">
        <f aca="false">制作工程表!G27</f>
        <v>46408</v>
      </c>
      <c r="H33" s="55" t="n">
        <f aca="false">制作工程表!H27</f>
        <v>46421</v>
      </c>
      <c r="I33" s="56" t="str">
        <f aca="false">制作工程表!I27</f>
        <v>—</v>
      </c>
      <c r="J33" s="51" t="str">
        <f aca="false">制作工程表!K27</f>
        <v>未着手</v>
      </c>
      <c r="K33" s="57" t="str">
        <f aca="false">IF(AND(K$7=$I33,ISNUMBER($I33)),"◆","")</f>
        <v/>
      </c>
      <c r="L33" s="57" t="str">
        <f aca="false">IF(AND(L$7=$I33,ISNUMBER($I33)),"◆","")</f>
        <v/>
      </c>
      <c r="M33" s="57" t="str">
        <f aca="false">IF(AND(M$7=$I33,ISNUMBER($I33)),"◆","")</f>
        <v/>
      </c>
      <c r="N33" s="57" t="str">
        <f aca="false">IF(AND(N$7=$I33,ISNUMBER($I33)),"◆","")</f>
        <v/>
      </c>
      <c r="O33" s="57" t="str">
        <f aca="false">IF(AND(O$7=$I33,ISNUMBER($I33)),"◆","")</f>
        <v/>
      </c>
      <c r="P33" s="57" t="str">
        <f aca="false">IF(AND(P$7=$I33,ISNUMBER($I33)),"◆","")</f>
        <v/>
      </c>
      <c r="Q33" s="57" t="str">
        <f aca="false">IF(AND(Q$7=$I33,ISNUMBER($I33)),"◆","")</f>
        <v/>
      </c>
      <c r="R33" s="57" t="str">
        <f aca="false">IF(AND(R$7=$I33,ISNUMBER($I33)),"◆","")</f>
        <v/>
      </c>
      <c r="S33" s="57" t="str">
        <f aca="false">IF(AND(S$7=$I33,ISNUMBER($I33)),"◆","")</f>
        <v/>
      </c>
      <c r="T33" s="57" t="str">
        <f aca="false">IF(AND(T$7=$I33,ISNUMBER($I33)),"◆","")</f>
        <v/>
      </c>
      <c r="U33" s="57" t="str">
        <f aca="false">IF(AND(U$7=$I33,ISNUMBER($I33)),"◆","")</f>
        <v/>
      </c>
      <c r="V33" s="57" t="str">
        <f aca="false">IF(AND(V$7=$I33,ISNUMBER($I33)),"◆","")</f>
        <v/>
      </c>
      <c r="W33" s="57" t="str">
        <f aca="false">IF(AND(W$7=$I33,ISNUMBER($I33)),"◆","")</f>
        <v/>
      </c>
      <c r="X33" s="57" t="str">
        <f aca="false">IF(AND(X$7=$I33,ISNUMBER($I33)),"◆","")</f>
        <v/>
      </c>
      <c r="Y33" s="57" t="str">
        <f aca="false">IF(AND(Y$7=$I33,ISNUMBER($I33)),"◆","")</f>
        <v/>
      </c>
      <c r="Z33" s="57" t="str">
        <f aca="false">IF(AND(Z$7=$I33,ISNUMBER($I33)),"◆","")</f>
        <v/>
      </c>
      <c r="AA33" s="57" t="str">
        <f aca="false">IF(AND(AA$7=$I33,ISNUMBER($I33)),"◆","")</f>
        <v/>
      </c>
      <c r="AB33" s="57" t="str">
        <f aca="false">IF(AND(AB$7=$I33,ISNUMBER($I33)),"◆","")</f>
        <v/>
      </c>
      <c r="AC33" s="57" t="str">
        <f aca="false">IF(AND(AC$7=$I33,ISNUMBER($I33)),"◆","")</f>
        <v/>
      </c>
      <c r="AD33" s="57" t="str">
        <f aca="false">IF(AND(AD$7=$I33,ISNUMBER($I33)),"◆","")</f>
        <v/>
      </c>
      <c r="AE33" s="57" t="str">
        <f aca="false">IF(AND(AE$7=$I33,ISNUMBER($I33)),"◆","")</f>
        <v/>
      </c>
      <c r="AF33" s="57" t="str">
        <f aca="false">IF(AND(AF$7=$I33,ISNUMBER($I33)),"◆","")</f>
        <v/>
      </c>
      <c r="AG33" s="57" t="str">
        <f aca="false">IF(AND(AG$7=$I33,ISNUMBER($I33)),"◆","")</f>
        <v/>
      </c>
      <c r="AH33" s="57" t="str">
        <f aca="false">IF(AND(AH$7=$I33,ISNUMBER($I33)),"◆","")</f>
        <v/>
      </c>
      <c r="AI33" s="57" t="str">
        <f aca="false">IF(AND(AI$7=$I33,ISNUMBER($I33)),"◆","")</f>
        <v/>
      </c>
      <c r="AJ33" s="57" t="str">
        <f aca="false">IF(AND(AJ$7=$I33,ISNUMBER($I33)),"◆","")</f>
        <v/>
      </c>
      <c r="AK33" s="57" t="str">
        <f aca="false">IF(AND(AK$7=$I33,ISNUMBER($I33)),"◆","")</f>
        <v/>
      </c>
      <c r="AL33" s="57" t="str">
        <f aca="false">IF(AND(AL$7=$I33,ISNUMBER($I33)),"◆","")</f>
        <v/>
      </c>
      <c r="AM33" s="57" t="str">
        <f aca="false">IF(AND(AM$7=$I33,ISNUMBER($I33)),"◆","")</f>
        <v/>
      </c>
      <c r="AN33" s="57" t="str">
        <f aca="false">IF(AND(AN$7=$I33,ISNUMBER($I33)),"◆","")</f>
        <v/>
      </c>
      <c r="AO33" s="57" t="str">
        <f aca="false">IF(AND(AO$7=$I33,ISNUMBER($I33)),"◆","")</f>
        <v/>
      </c>
      <c r="AP33" s="57" t="str">
        <f aca="false">IF(AND(AP$7=$I33,ISNUMBER($I33)),"◆","")</f>
        <v/>
      </c>
      <c r="AQ33" s="57" t="str">
        <f aca="false">IF(AND(AQ$7=$I33,ISNUMBER($I33)),"◆","")</f>
        <v/>
      </c>
      <c r="AR33" s="57" t="str">
        <f aca="false">IF(AND(AR$7=$I33,ISNUMBER($I33)),"◆","")</f>
        <v/>
      </c>
      <c r="AS33" s="57" t="str">
        <f aca="false">IF(AND(AS$7=$I33,ISNUMBER($I33)),"◆","")</f>
        <v/>
      </c>
      <c r="AT33" s="57" t="str">
        <f aca="false">IF(AND(AT$7=$I33,ISNUMBER($I33)),"◆","")</f>
        <v/>
      </c>
      <c r="AU33" s="57" t="str">
        <f aca="false">IF(AND(AU$7=$I33,ISNUMBER($I33)),"◆","")</f>
        <v/>
      </c>
      <c r="AV33" s="57" t="str">
        <f aca="false">IF(AND(AV$7=$I33,ISNUMBER($I33)),"◆","")</f>
        <v/>
      </c>
      <c r="AW33" s="57" t="str">
        <f aca="false">IF(AND(AW$7=$I33,ISNUMBER($I33)),"◆","")</f>
        <v/>
      </c>
      <c r="AX33" s="57" t="str">
        <f aca="false">IF(AND(AX$7=$I33,ISNUMBER($I33)),"◆","")</f>
        <v/>
      </c>
      <c r="AY33" s="57" t="str">
        <f aca="false">IF(AND(AY$7=$I33,ISNUMBER($I33)),"◆","")</f>
        <v/>
      </c>
      <c r="AZ33" s="57" t="str">
        <f aca="false">IF(AND(AZ$7=$I33,ISNUMBER($I33)),"◆","")</f>
        <v/>
      </c>
      <c r="BA33" s="57" t="str">
        <f aca="false">IF(AND(BA$7=$I33,ISNUMBER($I33)),"◆","")</f>
        <v/>
      </c>
      <c r="BB33" s="57" t="str">
        <f aca="false">IF(AND(BB$7=$I33,ISNUMBER($I33)),"◆","")</f>
        <v/>
      </c>
      <c r="BC33" s="57" t="str">
        <f aca="false">IF(AND(BC$7=$I33,ISNUMBER($I33)),"◆","")</f>
        <v/>
      </c>
      <c r="BD33" s="57" t="str">
        <f aca="false">IF(AND(BD$7=$I33,ISNUMBER($I33)),"◆","")</f>
        <v/>
      </c>
      <c r="BE33" s="57" t="str">
        <f aca="false">IF(AND(BE$7=$I33,ISNUMBER($I33)),"◆","")</f>
        <v/>
      </c>
      <c r="BF33" s="57" t="str">
        <f aca="false">IF(AND(BF$7=$I33,ISNUMBER($I33)),"◆","")</f>
        <v/>
      </c>
      <c r="BG33" s="57" t="str">
        <f aca="false">IF(AND(BG$7=$I33,ISNUMBER($I33)),"◆","")</f>
        <v/>
      </c>
      <c r="BH33" s="57" t="str">
        <f aca="false">IF(AND(BH$7=$I33,ISNUMBER($I33)),"◆","")</f>
        <v/>
      </c>
      <c r="BI33" s="57" t="str">
        <f aca="false">IF(AND(BI$7=$I33,ISNUMBER($I33)),"◆","")</f>
        <v/>
      </c>
      <c r="BJ33" s="57" t="str">
        <f aca="false">IF(AND(BJ$7=$I33,ISNUMBER($I33)),"◆","")</f>
        <v/>
      </c>
      <c r="BK33" s="57" t="str">
        <f aca="false">IF(AND(BK$7=$I33,ISNUMBER($I33)),"◆","")</f>
        <v/>
      </c>
      <c r="BL33" s="57" t="str">
        <f aca="false">IF(AND(BL$7=$I33,ISNUMBER($I33)),"◆","")</f>
        <v/>
      </c>
      <c r="BM33" s="57" t="str">
        <f aca="false">IF(AND(BM$7=$I33,ISNUMBER($I33)),"◆","")</f>
        <v/>
      </c>
      <c r="BN33" s="57" t="str">
        <f aca="false">IF(AND(BN$7=$I33,ISNUMBER($I33)),"◆","")</f>
        <v/>
      </c>
      <c r="BO33" s="57" t="str">
        <f aca="false">IF(AND(BO$7=$I33,ISNUMBER($I33)),"◆","")</f>
        <v/>
      </c>
      <c r="BP33" s="57" t="str">
        <f aca="false">IF(AND(BP$7=$I33,ISNUMBER($I33)),"◆","")</f>
        <v/>
      </c>
      <c r="BQ33" s="57" t="str">
        <f aca="false">IF(AND(BQ$7=$I33,ISNUMBER($I33)),"◆","")</f>
        <v/>
      </c>
      <c r="BR33" s="57" t="str">
        <f aca="false">IF(AND(BR$7=$I33,ISNUMBER($I33)),"◆","")</f>
        <v/>
      </c>
      <c r="BS33" s="57" t="str">
        <f aca="false">IF(AND(BS$7=$I33,ISNUMBER($I33)),"◆","")</f>
        <v/>
      </c>
      <c r="BT33" s="57" t="str">
        <f aca="false">IF(AND(BT$7=$I33,ISNUMBER($I33)),"◆","")</f>
        <v/>
      </c>
      <c r="BU33" s="57" t="str">
        <f aca="false">IF(AND(BU$7=$I33,ISNUMBER($I33)),"◆","")</f>
        <v/>
      </c>
      <c r="BV33" s="57" t="str">
        <f aca="false">IF(AND(BV$7=$I33,ISNUMBER($I33)),"◆","")</f>
        <v/>
      </c>
      <c r="BW33" s="57" t="str">
        <f aca="false">IF(AND(BW$7=$I33,ISNUMBER($I33)),"◆","")</f>
        <v/>
      </c>
      <c r="BX33" s="57" t="str">
        <f aca="false">IF(AND(BX$7=$I33,ISNUMBER($I33)),"◆","")</f>
        <v/>
      </c>
      <c r="BY33" s="57" t="str">
        <f aca="false">IF(AND(BY$7=$I33,ISNUMBER($I33)),"◆","")</f>
        <v/>
      </c>
      <c r="BZ33" s="57" t="str">
        <f aca="false">IF(AND(BZ$7=$I33,ISNUMBER($I33)),"◆","")</f>
        <v/>
      </c>
      <c r="CA33" s="57" t="str">
        <f aca="false">IF(AND(CA$7=$I33,ISNUMBER($I33)),"◆","")</f>
        <v/>
      </c>
      <c r="CB33" s="57" t="str">
        <f aca="false">IF(AND(CB$7=$I33,ISNUMBER($I33)),"◆","")</f>
        <v/>
      </c>
      <c r="CC33" s="57" t="str">
        <f aca="false">IF(AND(CC$7=$I33,ISNUMBER($I33)),"◆","")</f>
        <v/>
      </c>
      <c r="CD33" s="57" t="str">
        <f aca="false">IF(AND(CD$7=$I33,ISNUMBER($I33)),"◆","")</f>
        <v/>
      </c>
      <c r="CE33" s="57" t="str">
        <f aca="false">IF(AND(CE$7=$I33,ISNUMBER($I33)),"◆","")</f>
        <v/>
      </c>
      <c r="CF33" s="57" t="str">
        <f aca="false">IF(AND(CF$7=$I33,ISNUMBER($I33)),"◆","")</f>
        <v/>
      </c>
      <c r="CG33" s="57" t="str">
        <f aca="false">IF(AND(CG$7=$I33,ISNUMBER($I33)),"◆","")</f>
        <v/>
      </c>
      <c r="CH33" s="57" t="str">
        <f aca="false">IF(AND(CH$7=$I33,ISNUMBER($I33)),"◆","")</f>
        <v/>
      </c>
      <c r="CI33" s="57" t="str">
        <f aca="false">IF(AND(CI$7=$I33,ISNUMBER($I33)),"◆","")</f>
        <v/>
      </c>
      <c r="CJ33" s="57" t="str">
        <f aca="false">IF(AND(CJ$7=$I33,ISNUMBER($I33)),"◆","")</f>
        <v/>
      </c>
      <c r="CK33" s="57" t="str">
        <f aca="false">IF(AND(CK$7=$I33,ISNUMBER($I33)),"◆","")</f>
        <v/>
      </c>
      <c r="CL33" s="57" t="str">
        <f aca="false">IF(AND(CL$7=$I33,ISNUMBER($I33)),"◆","")</f>
        <v/>
      </c>
      <c r="CM33" s="57" t="str">
        <f aca="false">IF(AND(CM$7=$I33,ISNUMBER($I33)),"◆","")</f>
        <v/>
      </c>
      <c r="CN33" s="57" t="str">
        <f aca="false">IF(AND(CN$7=$I33,ISNUMBER($I33)),"◆","")</f>
        <v/>
      </c>
      <c r="CO33" s="57" t="str">
        <f aca="false">IF(AND(CO$7=$I33,ISNUMBER($I33)),"◆","")</f>
        <v/>
      </c>
      <c r="CP33" s="57" t="str">
        <f aca="false">IF(AND(CP$7=$I33,ISNUMBER($I33)),"◆","")</f>
        <v/>
      </c>
      <c r="CQ33" s="57" t="str">
        <f aca="false">IF(AND(CQ$7=$I33,ISNUMBER($I33)),"◆","")</f>
        <v/>
      </c>
      <c r="CR33" s="57" t="str">
        <f aca="false">IF(AND(CR$7=$I33,ISNUMBER($I33)),"◆","")</f>
        <v/>
      </c>
      <c r="CS33" s="57" t="str">
        <f aca="false">IF(AND(CS$7=$I33,ISNUMBER($I33)),"◆","")</f>
        <v/>
      </c>
      <c r="CT33" s="57" t="str">
        <f aca="false">IF(AND(CT$7=$I33,ISNUMBER($I33)),"◆","")</f>
        <v/>
      </c>
      <c r="CU33" s="57" t="str">
        <f aca="false">IF(AND(CU$7=$I33,ISNUMBER($I33)),"◆","")</f>
        <v/>
      </c>
      <c r="CV33" s="57" t="str">
        <f aca="false">IF(AND(CV$7=$I33,ISNUMBER($I33)),"◆","")</f>
        <v/>
      </c>
      <c r="CW33" s="57" t="str">
        <f aca="false">IF(AND(CW$7=$I33,ISNUMBER($I33)),"◆","")</f>
        <v/>
      </c>
      <c r="CX33" s="57" t="str">
        <f aca="false">IF(AND(CX$7=$I33,ISNUMBER($I33)),"◆","")</f>
        <v/>
      </c>
      <c r="CY33" s="57" t="str">
        <f aca="false">IF(AND(CY$7=$I33,ISNUMBER($I33)),"◆","")</f>
        <v/>
      </c>
      <c r="CZ33" s="57" t="str">
        <f aca="false">IF(AND(CZ$7=$I33,ISNUMBER($I33)),"◆","")</f>
        <v/>
      </c>
      <c r="DA33" s="57" t="str">
        <f aca="false">IF(AND(DA$7=$I33,ISNUMBER($I33)),"◆","")</f>
        <v/>
      </c>
      <c r="DB33" s="57" t="str">
        <f aca="false">IF(AND(DB$7=$I33,ISNUMBER($I33)),"◆","")</f>
        <v/>
      </c>
      <c r="DC33" s="57" t="str">
        <f aca="false">IF(AND(DC$7=$I33,ISNUMBER($I33)),"◆","")</f>
        <v/>
      </c>
      <c r="DD33" s="57" t="str">
        <f aca="false">IF(AND(DD$7=$I33,ISNUMBER($I33)),"◆","")</f>
        <v/>
      </c>
      <c r="DE33" s="57" t="str">
        <f aca="false">IF(AND(DE$7=$I33,ISNUMBER($I33)),"◆","")</f>
        <v/>
      </c>
      <c r="DF33" s="57" t="str">
        <f aca="false">IF(AND(DF$7=$I33,ISNUMBER($I33)),"◆","")</f>
        <v/>
      </c>
      <c r="DG33" s="57" t="str">
        <f aca="false">IF(AND(DG$7=$I33,ISNUMBER($I33)),"◆","")</f>
        <v/>
      </c>
      <c r="DH33" s="57" t="str">
        <f aca="false">IF(AND(DH$7=$I33,ISNUMBER($I33)),"◆","")</f>
        <v/>
      </c>
      <c r="DI33" s="57" t="str">
        <f aca="false">IF(AND(DI$7=$I33,ISNUMBER($I33)),"◆","")</f>
        <v/>
      </c>
      <c r="DJ33" s="57" t="str">
        <f aca="false">IF(AND(DJ$7=$I33,ISNUMBER($I33)),"◆","")</f>
        <v/>
      </c>
      <c r="DK33" s="57" t="str">
        <f aca="false">IF(AND(DK$7=$I33,ISNUMBER($I33)),"◆","")</f>
        <v/>
      </c>
      <c r="DL33" s="57" t="str">
        <f aca="false">IF(AND(DL$7=$I33,ISNUMBER($I33)),"◆","")</f>
        <v/>
      </c>
      <c r="DM33" s="57" t="str">
        <f aca="false">IF(AND(DM$7=$I33,ISNUMBER($I33)),"◆","")</f>
        <v/>
      </c>
      <c r="DN33" s="57" t="str">
        <f aca="false">IF(AND(DN$7=$I33,ISNUMBER($I33)),"◆","")</f>
        <v/>
      </c>
      <c r="DO33" s="57" t="str">
        <f aca="false">IF(AND(DO$7=$I33,ISNUMBER($I33)),"◆","")</f>
        <v/>
      </c>
      <c r="DP33" s="57" t="str">
        <f aca="false">IF(AND(DP$7=$I33,ISNUMBER($I33)),"◆","")</f>
        <v/>
      </c>
      <c r="DQ33" s="57" t="str">
        <f aca="false">IF(AND(DQ$7=$I33,ISNUMBER($I33)),"◆","")</f>
        <v/>
      </c>
      <c r="DR33" s="57" t="str">
        <f aca="false">IF(AND(DR$7=$I33,ISNUMBER($I33)),"◆","")</f>
        <v/>
      </c>
      <c r="DS33" s="57" t="str">
        <f aca="false">IF(AND(DS$7=$I33,ISNUMBER($I33)),"◆","")</f>
        <v/>
      </c>
      <c r="DT33" s="57" t="str">
        <f aca="false">IF(AND(DT$7=$I33,ISNUMBER($I33)),"◆","")</f>
        <v/>
      </c>
      <c r="DU33" s="57" t="str">
        <f aca="false">IF(AND(DU$7=$I33,ISNUMBER($I33)),"◆","")</f>
        <v/>
      </c>
      <c r="DV33" s="57" t="str">
        <f aca="false">IF(AND(DV$7=$I33,ISNUMBER($I33)),"◆","")</f>
        <v/>
      </c>
      <c r="DW33" s="57" t="str">
        <f aca="false">IF(AND(DW$7=$I33,ISNUMBER($I33)),"◆","")</f>
        <v/>
      </c>
      <c r="DX33" s="57" t="str">
        <f aca="false">IF(AND(DX$7=$I33,ISNUMBER($I33)),"◆","")</f>
        <v/>
      </c>
      <c r="DY33" s="57" t="str">
        <f aca="false">IF(AND(DY$7=$I33,ISNUMBER($I33)),"◆","")</f>
        <v/>
      </c>
      <c r="DZ33" s="57" t="str">
        <f aca="false">IF(AND(DZ$7=$I33,ISNUMBER($I33)),"◆","")</f>
        <v/>
      </c>
      <c r="EA33" s="57" t="str">
        <f aca="false">IF(AND(EA$7=$I33,ISNUMBER($I33)),"◆","")</f>
        <v/>
      </c>
      <c r="EB33" s="57" t="str">
        <f aca="false">IF(AND(EB$7=$I33,ISNUMBER($I33)),"◆","")</f>
        <v/>
      </c>
      <c r="EC33" s="57" t="str">
        <f aca="false">IF(AND(EC$7=$I33,ISNUMBER($I33)),"◆","")</f>
        <v/>
      </c>
      <c r="ED33" s="57" t="str">
        <f aca="false">IF(AND(ED$7=$I33,ISNUMBER($I33)),"◆","")</f>
        <v/>
      </c>
      <c r="EE33" s="57" t="str">
        <f aca="false">IF(AND(EE$7=$I33,ISNUMBER($I33)),"◆","")</f>
        <v/>
      </c>
      <c r="EF33" s="57" t="str">
        <f aca="false">IF(AND(EF$7=$I33,ISNUMBER($I33)),"◆","")</f>
        <v/>
      </c>
      <c r="EG33" s="57" t="str">
        <f aca="false">IF(AND(EG$7=$I33,ISNUMBER($I33)),"◆","")</f>
        <v/>
      </c>
      <c r="EH33" s="57" t="str">
        <f aca="false">IF(AND(EH$7=$I33,ISNUMBER($I33)),"◆","")</f>
        <v/>
      </c>
      <c r="EI33" s="57" t="str">
        <f aca="false">IF(AND(EI$7=$I33,ISNUMBER($I33)),"◆","")</f>
        <v/>
      </c>
      <c r="EJ33" s="57" t="str">
        <f aca="false">IF(AND(EJ$7=$I33,ISNUMBER($I33)),"◆","")</f>
        <v/>
      </c>
      <c r="EK33" s="57" t="str">
        <f aca="false">IF(AND(EK$7=$I33,ISNUMBER($I33)),"◆","")</f>
        <v/>
      </c>
      <c r="EL33" s="57" t="str">
        <f aca="false">IF(AND(EL$7=$I33,ISNUMBER($I33)),"◆","")</f>
        <v/>
      </c>
      <c r="EM33" s="57" t="str">
        <f aca="false">IF(AND(EM$7=$I33,ISNUMBER($I33)),"◆","")</f>
        <v/>
      </c>
      <c r="EN33" s="57" t="str">
        <f aca="false">IF(AND(EN$7=$I33,ISNUMBER($I33)),"◆","")</f>
        <v/>
      </c>
      <c r="EO33" s="57" t="str">
        <f aca="false">IF(AND(EO$7=$I33,ISNUMBER($I33)),"◆","")</f>
        <v/>
      </c>
      <c r="EP33" s="57" t="str">
        <f aca="false">IF(AND(EP$7=$I33,ISNUMBER($I33)),"◆","")</f>
        <v/>
      </c>
      <c r="EQ33" s="57" t="str">
        <f aca="false">IF(AND(EQ$7=$I33,ISNUMBER($I33)),"◆","")</f>
        <v/>
      </c>
      <c r="ER33" s="57" t="str">
        <f aca="false">IF(AND(ER$7=$I33,ISNUMBER($I33)),"◆","")</f>
        <v/>
      </c>
      <c r="ES33" s="57" t="str">
        <f aca="false">IF(AND(ES$7=$I33,ISNUMBER($I33)),"◆","")</f>
        <v/>
      </c>
      <c r="ET33" s="57" t="str">
        <f aca="false">IF(AND(ET$7=$I33,ISNUMBER($I33)),"◆","")</f>
        <v/>
      </c>
      <c r="EU33" s="57" t="str">
        <f aca="false">IF(AND(EU$7=$I33,ISNUMBER($I33)),"◆","")</f>
        <v/>
      </c>
      <c r="EV33" s="57" t="str">
        <f aca="false">IF(AND(EV$7=$I33,ISNUMBER($I33)),"◆","")</f>
        <v/>
      </c>
      <c r="EW33" s="57" t="str">
        <f aca="false">IF(AND(EW$7=$I33,ISNUMBER($I33)),"◆","")</f>
        <v/>
      </c>
      <c r="EX33" s="57" t="str">
        <f aca="false">IF(AND(EX$7=$I33,ISNUMBER($I33)),"◆","")</f>
        <v/>
      </c>
      <c r="EY33" s="57" t="str">
        <f aca="false">IF(AND(EY$7=$I33,ISNUMBER($I33)),"◆","")</f>
        <v/>
      </c>
      <c r="EZ33" s="57" t="str">
        <f aca="false">IF(AND(EZ$7=$I33,ISNUMBER($I33)),"◆","")</f>
        <v/>
      </c>
      <c r="FA33" s="57" t="str">
        <f aca="false">IF(AND(FA$7=$I33,ISNUMBER($I33)),"◆","")</f>
        <v/>
      </c>
      <c r="FB33" s="57" t="str">
        <f aca="false">IF(AND(FB$7=$I33,ISNUMBER($I33)),"◆","")</f>
        <v/>
      </c>
      <c r="FC33" s="57" t="str">
        <f aca="false">IF(AND(FC$7=$I33,ISNUMBER($I33)),"◆","")</f>
        <v/>
      </c>
      <c r="FD33" s="57" t="str">
        <f aca="false">IF(AND(FD$7=$I33,ISNUMBER($I33)),"◆","")</f>
        <v/>
      </c>
      <c r="FE33" s="57" t="str">
        <f aca="false">IF(AND(FE$7=$I33,ISNUMBER($I33)),"◆","")</f>
        <v/>
      </c>
      <c r="FF33" s="57" t="str">
        <f aca="false">IF(AND(FF$7=$I33,ISNUMBER($I33)),"◆","")</f>
        <v/>
      </c>
      <c r="FG33" s="57" t="str">
        <f aca="false">IF(AND(FG$7=$I33,ISNUMBER($I33)),"◆","")</f>
        <v/>
      </c>
      <c r="FH33" s="57" t="str">
        <f aca="false">IF(AND(FH$7=$I33,ISNUMBER($I33)),"◆","")</f>
        <v/>
      </c>
      <c r="FI33" s="57" t="str">
        <f aca="false">IF(AND(FI$7=$I33,ISNUMBER($I33)),"◆","")</f>
        <v/>
      </c>
      <c r="FJ33" s="57" t="str">
        <f aca="false">IF(AND(FJ$7=$I33,ISNUMBER($I33)),"◆","")</f>
        <v/>
      </c>
      <c r="FK33" s="57" t="str">
        <f aca="false">IF(AND(FK$7=$I33,ISNUMBER($I33)),"◆","")</f>
        <v/>
      </c>
      <c r="FL33" s="57" t="str">
        <f aca="false">IF(AND(FL$7=$I33,ISNUMBER($I33)),"◆","")</f>
        <v/>
      </c>
      <c r="FM33" s="57" t="str">
        <f aca="false">IF(AND(FM$7=$I33,ISNUMBER($I33)),"◆","")</f>
        <v/>
      </c>
      <c r="FN33" s="57" t="str">
        <f aca="false">IF(AND(FN$7=$I33,ISNUMBER($I33)),"◆","")</f>
        <v/>
      </c>
      <c r="FO33" s="57" t="str">
        <f aca="false">IF(AND(FO$7=$I33,ISNUMBER($I33)),"◆","")</f>
        <v/>
      </c>
      <c r="FP33" s="57" t="str">
        <f aca="false">IF(AND(FP$7=$I33,ISNUMBER($I33)),"◆","")</f>
        <v/>
      </c>
      <c r="FQ33" s="57" t="str">
        <f aca="false">IF(AND(FQ$7=$I33,ISNUMBER($I33)),"◆","")</f>
        <v/>
      </c>
      <c r="FR33" s="57" t="str">
        <f aca="false">IF(AND(FR$7=$I33,ISNUMBER($I33)),"◆","")</f>
        <v/>
      </c>
      <c r="FS33" s="57" t="str">
        <f aca="false">IF(AND(FS$7=$I33,ISNUMBER($I33)),"◆","")</f>
        <v/>
      </c>
      <c r="FT33" s="57" t="str">
        <f aca="false">IF(AND(FT$7=$I33,ISNUMBER($I33)),"◆","")</f>
        <v/>
      </c>
      <c r="FU33" s="57" t="str">
        <f aca="false">IF(AND(FU$7=$I33,ISNUMBER($I33)),"◆","")</f>
        <v/>
      </c>
      <c r="FV33" s="57" t="str">
        <f aca="false">IF(AND(FV$7=$I33,ISNUMBER($I33)),"◆","")</f>
        <v/>
      </c>
    </row>
    <row r="34" customFormat="false" ht="25.5" hidden="false" customHeight="true" outlineLevel="0" collapsed="false">
      <c r="A34" s="50" t="str">
        <f aca="false">制作工程表!A28</f>
        <v>T20</v>
      </c>
      <c r="B34" s="51" t="str">
        <f aca="false">制作工程表!B28</f>
        <v>デザイン確認</v>
      </c>
      <c r="C34" s="52" t="str">
        <f aca="false">制作工程表!C28</f>
        <v>デザインのご確認</v>
      </c>
      <c r="D34" s="53" t="str">
        <f aca="false">制作工程表!D28</f>
        <v>広報窓口</v>
      </c>
      <c r="E34" s="53" t="str">
        <f aca="false">制作工程表!E28</f>
        <v>代表</v>
      </c>
      <c r="F34" s="54" t="str">
        <f aca="false">IF(制作工程表!B28="取材撮影","撮影",IF(OR(制作工程表!D28="広報窓口",制作工程表!D28="代表",制作工程表!D28="技術営業課",制作工程表!D28="品質管理課",制作工程表!D28="製造部"),"企業","制作"))</f>
        <v>企業</v>
      </c>
      <c r="G34" s="55" t="n">
        <f aca="false">制作工程表!G28</f>
        <v>46422</v>
      </c>
      <c r="H34" s="55" t="n">
        <f aca="false">制作工程表!H28</f>
        <v>46433</v>
      </c>
      <c r="I34" s="56" t="n">
        <f aca="false">制作工程表!I28</f>
        <v>46433</v>
      </c>
      <c r="J34" s="51" t="str">
        <f aca="false">制作工程表!K28</f>
        <v>未着手</v>
      </c>
      <c r="K34" s="57" t="str">
        <f aca="false">IF(AND(K$7=$I34,ISNUMBER($I34)),"◆","")</f>
        <v/>
      </c>
      <c r="L34" s="57" t="str">
        <f aca="false">IF(AND(L$7=$I34,ISNUMBER($I34)),"◆","")</f>
        <v/>
      </c>
      <c r="M34" s="57" t="str">
        <f aca="false">IF(AND(M$7=$I34,ISNUMBER($I34)),"◆","")</f>
        <v/>
      </c>
      <c r="N34" s="57" t="str">
        <f aca="false">IF(AND(N$7=$I34,ISNUMBER($I34)),"◆","")</f>
        <v/>
      </c>
      <c r="O34" s="57" t="str">
        <f aca="false">IF(AND(O$7=$I34,ISNUMBER($I34)),"◆","")</f>
        <v/>
      </c>
      <c r="P34" s="57" t="str">
        <f aca="false">IF(AND(P$7=$I34,ISNUMBER($I34)),"◆","")</f>
        <v/>
      </c>
      <c r="Q34" s="57" t="str">
        <f aca="false">IF(AND(Q$7=$I34,ISNUMBER($I34)),"◆","")</f>
        <v/>
      </c>
      <c r="R34" s="57" t="str">
        <f aca="false">IF(AND(R$7=$I34,ISNUMBER($I34)),"◆","")</f>
        <v/>
      </c>
      <c r="S34" s="57" t="str">
        <f aca="false">IF(AND(S$7=$I34,ISNUMBER($I34)),"◆","")</f>
        <v/>
      </c>
      <c r="T34" s="57" t="str">
        <f aca="false">IF(AND(T$7=$I34,ISNUMBER($I34)),"◆","")</f>
        <v/>
      </c>
      <c r="U34" s="57" t="str">
        <f aca="false">IF(AND(U$7=$I34,ISNUMBER($I34)),"◆","")</f>
        <v/>
      </c>
      <c r="V34" s="57" t="str">
        <f aca="false">IF(AND(V$7=$I34,ISNUMBER($I34)),"◆","")</f>
        <v/>
      </c>
      <c r="W34" s="57" t="str">
        <f aca="false">IF(AND(W$7=$I34,ISNUMBER($I34)),"◆","")</f>
        <v/>
      </c>
      <c r="X34" s="57" t="str">
        <f aca="false">IF(AND(X$7=$I34,ISNUMBER($I34)),"◆","")</f>
        <v/>
      </c>
      <c r="Y34" s="57" t="str">
        <f aca="false">IF(AND(Y$7=$I34,ISNUMBER($I34)),"◆","")</f>
        <v/>
      </c>
      <c r="Z34" s="57" t="str">
        <f aca="false">IF(AND(Z$7=$I34,ISNUMBER($I34)),"◆","")</f>
        <v/>
      </c>
      <c r="AA34" s="57" t="str">
        <f aca="false">IF(AND(AA$7=$I34,ISNUMBER($I34)),"◆","")</f>
        <v/>
      </c>
      <c r="AB34" s="57" t="str">
        <f aca="false">IF(AND(AB$7=$I34,ISNUMBER($I34)),"◆","")</f>
        <v/>
      </c>
      <c r="AC34" s="57" t="str">
        <f aca="false">IF(AND(AC$7=$I34,ISNUMBER($I34)),"◆","")</f>
        <v/>
      </c>
      <c r="AD34" s="57" t="str">
        <f aca="false">IF(AND(AD$7=$I34,ISNUMBER($I34)),"◆","")</f>
        <v/>
      </c>
      <c r="AE34" s="57" t="str">
        <f aca="false">IF(AND(AE$7=$I34,ISNUMBER($I34)),"◆","")</f>
        <v/>
      </c>
      <c r="AF34" s="57" t="str">
        <f aca="false">IF(AND(AF$7=$I34,ISNUMBER($I34)),"◆","")</f>
        <v/>
      </c>
      <c r="AG34" s="57" t="str">
        <f aca="false">IF(AND(AG$7=$I34,ISNUMBER($I34)),"◆","")</f>
        <v/>
      </c>
      <c r="AH34" s="57" t="str">
        <f aca="false">IF(AND(AH$7=$I34,ISNUMBER($I34)),"◆","")</f>
        <v/>
      </c>
      <c r="AI34" s="57" t="str">
        <f aca="false">IF(AND(AI$7=$I34,ISNUMBER($I34)),"◆","")</f>
        <v/>
      </c>
      <c r="AJ34" s="57" t="str">
        <f aca="false">IF(AND(AJ$7=$I34,ISNUMBER($I34)),"◆","")</f>
        <v/>
      </c>
      <c r="AK34" s="57" t="str">
        <f aca="false">IF(AND(AK$7=$I34,ISNUMBER($I34)),"◆","")</f>
        <v/>
      </c>
      <c r="AL34" s="57" t="str">
        <f aca="false">IF(AND(AL$7=$I34,ISNUMBER($I34)),"◆","")</f>
        <v/>
      </c>
      <c r="AM34" s="57" t="str">
        <f aca="false">IF(AND(AM$7=$I34,ISNUMBER($I34)),"◆","")</f>
        <v/>
      </c>
      <c r="AN34" s="57" t="str">
        <f aca="false">IF(AND(AN$7=$I34,ISNUMBER($I34)),"◆","")</f>
        <v/>
      </c>
      <c r="AO34" s="57" t="str">
        <f aca="false">IF(AND(AO$7=$I34,ISNUMBER($I34)),"◆","")</f>
        <v/>
      </c>
      <c r="AP34" s="57" t="str">
        <f aca="false">IF(AND(AP$7=$I34,ISNUMBER($I34)),"◆","")</f>
        <v/>
      </c>
      <c r="AQ34" s="57" t="str">
        <f aca="false">IF(AND(AQ$7=$I34,ISNUMBER($I34)),"◆","")</f>
        <v/>
      </c>
      <c r="AR34" s="57" t="str">
        <f aca="false">IF(AND(AR$7=$I34,ISNUMBER($I34)),"◆","")</f>
        <v/>
      </c>
      <c r="AS34" s="57" t="str">
        <f aca="false">IF(AND(AS$7=$I34,ISNUMBER($I34)),"◆","")</f>
        <v/>
      </c>
      <c r="AT34" s="57" t="str">
        <f aca="false">IF(AND(AT$7=$I34,ISNUMBER($I34)),"◆","")</f>
        <v/>
      </c>
      <c r="AU34" s="57" t="str">
        <f aca="false">IF(AND(AU$7=$I34,ISNUMBER($I34)),"◆","")</f>
        <v/>
      </c>
      <c r="AV34" s="57" t="str">
        <f aca="false">IF(AND(AV$7=$I34,ISNUMBER($I34)),"◆","")</f>
        <v/>
      </c>
      <c r="AW34" s="57" t="str">
        <f aca="false">IF(AND(AW$7=$I34,ISNUMBER($I34)),"◆","")</f>
        <v/>
      </c>
      <c r="AX34" s="57" t="str">
        <f aca="false">IF(AND(AX$7=$I34,ISNUMBER($I34)),"◆","")</f>
        <v/>
      </c>
      <c r="AY34" s="57" t="str">
        <f aca="false">IF(AND(AY$7=$I34,ISNUMBER($I34)),"◆","")</f>
        <v/>
      </c>
      <c r="AZ34" s="57" t="str">
        <f aca="false">IF(AND(AZ$7=$I34,ISNUMBER($I34)),"◆","")</f>
        <v/>
      </c>
      <c r="BA34" s="57" t="str">
        <f aca="false">IF(AND(BA$7=$I34,ISNUMBER($I34)),"◆","")</f>
        <v/>
      </c>
      <c r="BB34" s="57" t="str">
        <f aca="false">IF(AND(BB$7=$I34,ISNUMBER($I34)),"◆","")</f>
        <v/>
      </c>
      <c r="BC34" s="57" t="str">
        <f aca="false">IF(AND(BC$7=$I34,ISNUMBER($I34)),"◆","")</f>
        <v/>
      </c>
      <c r="BD34" s="57" t="str">
        <f aca="false">IF(AND(BD$7=$I34,ISNUMBER($I34)),"◆","")</f>
        <v/>
      </c>
      <c r="BE34" s="57" t="str">
        <f aca="false">IF(AND(BE$7=$I34,ISNUMBER($I34)),"◆","")</f>
        <v/>
      </c>
      <c r="BF34" s="57" t="str">
        <f aca="false">IF(AND(BF$7=$I34,ISNUMBER($I34)),"◆","")</f>
        <v/>
      </c>
      <c r="BG34" s="57" t="str">
        <f aca="false">IF(AND(BG$7=$I34,ISNUMBER($I34)),"◆","")</f>
        <v/>
      </c>
      <c r="BH34" s="57" t="str">
        <f aca="false">IF(AND(BH$7=$I34,ISNUMBER($I34)),"◆","")</f>
        <v/>
      </c>
      <c r="BI34" s="57" t="str">
        <f aca="false">IF(AND(BI$7=$I34,ISNUMBER($I34)),"◆","")</f>
        <v/>
      </c>
      <c r="BJ34" s="57" t="str">
        <f aca="false">IF(AND(BJ$7=$I34,ISNUMBER($I34)),"◆","")</f>
        <v/>
      </c>
      <c r="BK34" s="57" t="str">
        <f aca="false">IF(AND(BK$7=$I34,ISNUMBER($I34)),"◆","")</f>
        <v/>
      </c>
      <c r="BL34" s="57" t="str">
        <f aca="false">IF(AND(BL$7=$I34,ISNUMBER($I34)),"◆","")</f>
        <v/>
      </c>
      <c r="BM34" s="57" t="str">
        <f aca="false">IF(AND(BM$7=$I34,ISNUMBER($I34)),"◆","")</f>
        <v/>
      </c>
      <c r="BN34" s="57" t="str">
        <f aca="false">IF(AND(BN$7=$I34,ISNUMBER($I34)),"◆","")</f>
        <v/>
      </c>
      <c r="BO34" s="57" t="str">
        <f aca="false">IF(AND(BO$7=$I34,ISNUMBER($I34)),"◆","")</f>
        <v/>
      </c>
      <c r="BP34" s="57" t="str">
        <f aca="false">IF(AND(BP$7=$I34,ISNUMBER($I34)),"◆","")</f>
        <v/>
      </c>
      <c r="BQ34" s="57" t="str">
        <f aca="false">IF(AND(BQ$7=$I34,ISNUMBER($I34)),"◆","")</f>
        <v/>
      </c>
      <c r="BR34" s="57" t="str">
        <f aca="false">IF(AND(BR$7=$I34,ISNUMBER($I34)),"◆","")</f>
        <v/>
      </c>
      <c r="BS34" s="57" t="str">
        <f aca="false">IF(AND(BS$7=$I34,ISNUMBER($I34)),"◆","")</f>
        <v/>
      </c>
      <c r="BT34" s="57" t="str">
        <f aca="false">IF(AND(BT$7=$I34,ISNUMBER($I34)),"◆","")</f>
        <v/>
      </c>
      <c r="BU34" s="57" t="str">
        <f aca="false">IF(AND(BU$7=$I34,ISNUMBER($I34)),"◆","")</f>
        <v/>
      </c>
      <c r="BV34" s="57" t="str">
        <f aca="false">IF(AND(BV$7=$I34,ISNUMBER($I34)),"◆","")</f>
        <v/>
      </c>
      <c r="BW34" s="57" t="str">
        <f aca="false">IF(AND(BW$7=$I34,ISNUMBER($I34)),"◆","")</f>
        <v/>
      </c>
      <c r="BX34" s="57" t="str">
        <f aca="false">IF(AND(BX$7=$I34,ISNUMBER($I34)),"◆","")</f>
        <v/>
      </c>
      <c r="BY34" s="57" t="str">
        <f aca="false">IF(AND(BY$7=$I34,ISNUMBER($I34)),"◆","")</f>
        <v/>
      </c>
      <c r="BZ34" s="57" t="str">
        <f aca="false">IF(AND(BZ$7=$I34,ISNUMBER($I34)),"◆","")</f>
        <v/>
      </c>
      <c r="CA34" s="57" t="str">
        <f aca="false">IF(AND(CA$7=$I34,ISNUMBER($I34)),"◆","")</f>
        <v/>
      </c>
      <c r="CB34" s="57" t="str">
        <f aca="false">IF(AND(CB$7=$I34,ISNUMBER($I34)),"◆","")</f>
        <v/>
      </c>
      <c r="CC34" s="57" t="str">
        <f aca="false">IF(AND(CC$7=$I34,ISNUMBER($I34)),"◆","")</f>
        <v/>
      </c>
      <c r="CD34" s="57" t="str">
        <f aca="false">IF(AND(CD$7=$I34,ISNUMBER($I34)),"◆","")</f>
        <v/>
      </c>
      <c r="CE34" s="57" t="str">
        <f aca="false">IF(AND(CE$7=$I34,ISNUMBER($I34)),"◆","")</f>
        <v/>
      </c>
      <c r="CF34" s="57" t="str">
        <f aca="false">IF(AND(CF$7=$I34,ISNUMBER($I34)),"◆","")</f>
        <v/>
      </c>
      <c r="CG34" s="57" t="str">
        <f aca="false">IF(AND(CG$7=$I34,ISNUMBER($I34)),"◆","")</f>
        <v/>
      </c>
      <c r="CH34" s="57" t="str">
        <f aca="false">IF(AND(CH$7=$I34,ISNUMBER($I34)),"◆","")</f>
        <v/>
      </c>
      <c r="CI34" s="57" t="str">
        <f aca="false">IF(AND(CI$7=$I34,ISNUMBER($I34)),"◆","")</f>
        <v/>
      </c>
      <c r="CJ34" s="57" t="str">
        <f aca="false">IF(AND(CJ$7=$I34,ISNUMBER($I34)),"◆","")</f>
        <v/>
      </c>
      <c r="CK34" s="57" t="str">
        <f aca="false">IF(AND(CK$7=$I34,ISNUMBER($I34)),"◆","")</f>
        <v/>
      </c>
      <c r="CL34" s="57" t="str">
        <f aca="false">IF(AND(CL$7=$I34,ISNUMBER($I34)),"◆","")</f>
        <v/>
      </c>
      <c r="CM34" s="57" t="str">
        <f aca="false">IF(AND(CM$7=$I34,ISNUMBER($I34)),"◆","")</f>
        <v/>
      </c>
      <c r="CN34" s="57" t="str">
        <f aca="false">IF(AND(CN$7=$I34,ISNUMBER($I34)),"◆","")</f>
        <v/>
      </c>
      <c r="CO34" s="57" t="str">
        <f aca="false">IF(AND(CO$7=$I34,ISNUMBER($I34)),"◆","")</f>
        <v/>
      </c>
      <c r="CP34" s="57" t="str">
        <f aca="false">IF(AND(CP$7=$I34,ISNUMBER($I34)),"◆","")</f>
        <v/>
      </c>
      <c r="CQ34" s="57" t="str">
        <f aca="false">IF(AND(CQ$7=$I34,ISNUMBER($I34)),"◆","")</f>
        <v/>
      </c>
      <c r="CR34" s="57" t="str">
        <f aca="false">IF(AND(CR$7=$I34,ISNUMBER($I34)),"◆","")</f>
        <v/>
      </c>
      <c r="CS34" s="57" t="str">
        <f aca="false">IF(AND(CS$7=$I34,ISNUMBER($I34)),"◆","")</f>
        <v/>
      </c>
      <c r="CT34" s="57" t="str">
        <f aca="false">IF(AND(CT$7=$I34,ISNUMBER($I34)),"◆","")</f>
        <v/>
      </c>
      <c r="CU34" s="57" t="str">
        <f aca="false">IF(AND(CU$7=$I34,ISNUMBER($I34)),"◆","")</f>
        <v/>
      </c>
      <c r="CV34" s="57" t="str">
        <f aca="false">IF(AND(CV$7=$I34,ISNUMBER($I34)),"◆","")</f>
        <v/>
      </c>
      <c r="CW34" s="57" t="str">
        <f aca="false">IF(AND(CW$7=$I34,ISNUMBER($I34)),"◆","")</f>
        <v/>
      </c>
      <c r="CX34" s="57" t="str">
        <f aca="false">IF(AND(CX$7=$I34,ISNUMBER($I34)),"◆","")</f>
        <v/>
      </c>
      <c r="CY34" s="57" t="str">
        <f aca="false">IF(AND(CY$7=$I34,ISNUMBER($I34)),"◆","")</f>
        <v/>
      </c>
      <c r="CZ34" s="57" t="str">
        <f aca="false">IF(AND(CZ$7=$I34,ISNUMBER($I34)),"◆","")</f>
        <v/>
      </c>
      <c r="DA34" s="57" t="str">
        <f aca="false">IF(AND(DA$7=$I34,ISNUMBER($I34)),"◆","")</f>
        <v/>
      </c>
      <c r="DB34" s="57" t="str">
        <f aca="false">IF(AND(DB$7=$I34,ISNUMBER($I34)),"◆","")</f>
        <v/>
      </c>
      <c r="DC34" s="57" t="str">
        <f aca="false">IF(AND(DC$7=$I34,ISNUMBER($I34)),"◆","")</f>
        <v/>
      </c>
      <c r="DD34" s="57" t="str">
        <f aca="false">IF(AND(DD$7=$I34,ISNUMBER($I34)),"◆","")</f>
        <v/>
      </c>
      <c r="DE34" s="57" t="str">
        <f aca="false">IF(AND(DE$7=$I34,ISNUMBER($I34)),"◆","")</f>
        <v/>
      </c>
      <c r="DF34" s="57" t="str">
        <f aca="false">IF(AND(DF$7=$I34,ISNUMBER($I34)),"◆","")</f>
        <v/>
      </c>
      <c r="DG34" s="57" t="str">
        <f aca="false">IF(AND(DG$7=$I34,ISNUMBER($I34)),"◆","")</f>
        <v/>
      </c>
      <c r="DH34" s="57" t="str">
        <f aca="false">IF(AND(DH$7=$I34,ISNUMBER($I34)),"◆","")</f>
        <v/>
      </c>
      <c r="DI34" s="57" t="str">
        <f aca="false">IF(AND(DI$7=$I34,ISNUMBER($I34)),"◆","")</f>
        <v/>
      </c>
      <c r="DJ34" s="57" t="str">
        <f aca="false">IF(AND(DJ$7=$I34,ISNUMBER($I34)),"◆","")</f>
        <v/>
      </c>
      <c r="DK34" s="57" t="str">
        <f aca="false">IF(AND(DK$7=$I34,ISNUMBER($I34)),"◆","")</f>
        <v/>
      </c>
      <c r="DL34" s="57" t="str">
        <f aca="false">IF(AND(DL$7=$I34,ISNUMBER($I34)),"◆","")</f>
        <v>◆</v>
      </c>
      <c r="DM34" s="57" t="str">
        <f aca="false">IF(AND(DM$7=$I34,ISNUMBER($I34)),"◆","")</f>
        <v/>
      </c>
      <c r="DN34" s="57" t="str">
        <f aca="false">IF(AND(DN$7=$I34,ISNUMBER($I34)),"◆","")</f>
        <v/>
      </c>
      <c r="DO34" s="57" t="str">
        <f aca="false">IF(AND(DO$7=$I34,ISNUMBER($I34)),"◆","")</f>
        <v/>
      </c>
      <c r="DP34" s="57" t="str">
        <f aca="false">IF(AND(DP$7=$I34,ISNUMBER($I34)),"◆","")</f>
        <v/>
      </c>
      <c r="DQ34" s="57" t="str">
        <f aca="false">IF(AND(DQ$7=$I34,ISNUMBER($I34)),"◆","")</f>
        <v/>
      </c>
      <c r="DR34" s="57" t="str">
        <f aca="false">IF(AND(DR$7=$I34,ISNUMBER($I34)),"◆","")</f>
        <v/>
      </c>
      <c r="DS34" s="57" t="str">
        <f aca="false">IF(AND(DS$7=$I34,ISNUMBER($I34)),"◆","")</f>
        <v/>
      </c>
      <c r="DT34" s="57" t="str">
        <f aca="false">IF(AND(DT$7=$I34,ISNUMBER($I34)),"◆","")</f>
        <v/>
      </c>
      <c r="DU34" s="57" t="str">
        <f aca="false">IF(AND(DU$7=$I34,ISNUMBER($I34)),"◆","")</f>
        <v/>
      </c>
      <c r="DV34" s="57" t="str">
        <f aca="false">IF(AND(DV$7=$I34,ISNUMBER($I34)),"◆","")</f>
        <v/>
      </c>
      <c r="DW34" s="57" t="str">
        <f aca="false">IF(AND(DW$7=$I34,ISNUMBER($I34)),"◆","")</f>
        <v/>
      </c>
      <c r="DX34" s="57" t="str">
        <f aca="false">IF(AND(DX$7=$I34,ISNUMBER($I34)),"◆","")</f>
        <v/>
      </c>
      <c r="DY34" s="57" t="str">
        <f aca="false">IF(AND(DY$7=$I34,ISNUMBER($I34)),"◆","")</f>
        <v/>
      </c>
      <c r="DZ34" s="57" t="str">
        <f aca="false">IF(AND(DZ$7=$I34,ISNUMBER($I34)),"◆","")</f>
        <v/>
      </c>
      <c r="EA34" s="57" t="str">
        <f aca="false">IF(AND(EA$7=$I34,ISNUMBER($I34)),"◆","")</f>
        <v/>
      </c>
      <c r="EB34" s="57" t="str">
        <f aca="false">IF(AND(EB$7=$I34,ISNUMBER($I34)),"◆","")</f>
        <v/>
      </c>
      <c r="EC34" s="57" t="str">
        <f aca="false">IF(AND(EC$7=$I34,ISNUMBER($I34)),"◆","")</f>
        <v/>
      </c>
      <c r="ED34" s="57" t="str">
        <f aca="false">IF(AND(ED$7=$I34,ISNUMBER($I34)),"◆","")</f>
        <v/>
      </c>
      <c r="EE34" s="57" t="str">
        <f aca="false">IF(AND(EE$7=$I34,ISNUMBER($I34)),"◆","")</f>
        <v/>
      </c>
      <c r="EF34" s="57" t="str">
        <f aca="false">IF(AND(EF$7=$I34,ISNUMBER($I34)),"◆","")</f>
        <v/>
      </c>
      <c r="EG34" s="57" t="str">
        <f aca="false">IF(AND(EG$7=$I34,ISNUMBER($I34)),"◆","")</f>
        <v/>
      </c>
      <c r="EH34" s="57" t="str">
        <f aca="false">IF(AND(EH$7=$I34,ISNUMBER($I34)),"◆","")</f>
        <v/>
      </c>
      <c r="EI34" s="57" t="str">
        <f aca="false">IF(AND(EI$7=$I34,ISNUMBER($I34)),"◆","")</f>
        <v/>
      </c>
      <c r="EJ34" s="57" t="str">
        <f aca="false">IF(AND(EJ$7=$I34,ISNUMBER($I34)),"◆","")</f>
        <v/>
      </c>
      <c r="EK34" s="57" t="str">
        <f aca="false">IF(AND(EK$7=$I34,ISNUMBER($I34)),"◆","")</f>
        <v/>
      </c>
      <c r="EL34" s="57" t="str">
        <f aca="false">IF(AND(EL$7=$I34,ISNUMBER($I34)),"◆","")</f>
        <v/>
      </c>
      <c r="EM34" s="57" t="str">
        <f aca="false">IF(AND(EM$7=$I34,ISNUMBER($I34)),"◆","")</f>
        <v/>
      </c>
      <c r="EN34" s="57" t="str">
        <f aca="false">IF(AND(EN$7=$I34,ISNUMBER($I34)),"◆","")</f>
        <v/>
      </c>
      <c r="EO34" s="57" t="str">
        <f aca="false">IF(AND(EO$7=$I34,ISNUMBER($I34)),"◆","")</f>
        <v/>
      </c>
      <c r="EP34" s="57" t="str">
        <f aca="false">IF(AND(EP$7=$I34,ISNUMBER($I34)),"◆","")</f>
        <v/>
      </c>
      <c r="EQ34" s="57" t="str">
        <f aca="false">IF(AND(EQ$7=$I34,ISNUMBER($I34)),"◆","")</f>
        <v/>
      </c>
      <c r="ER34" s="57" t="str">
        <f aca="false">IF(AND(ER$7=$I34,ISNUMBER($I34)),"◆","")</f>
        <v/>
      </c>
      <c r="ES34" s="57" t="str">
        <f aca="false">IF(AND(ES$7=$I34,ISNUMBER($I34)),"◆","")</f>
        <v/>
      </c>
      <c r="ET34" s="57" t="str">
        <f aca="false">IF(AND(ET$7=$I34,ISNUMBER($I34)),"◆","")</f>
        <v/>
      </c>
      <c r="EU34" s="57" t="str">
        <f aca="false">IF(AND(EU$7=$I34,ISNUMBER($I34)),"◆","")</f>
        <v/>
      </c>
      <c r="EV34" s="57" t="str">
        <f aca="false">IF(AND(EV$7=$I34,ISNUMBER($I34)),"◆","")</f>
        <v/>
      </c>
      <c r="EW34" s="57" t="str">
        <f aca="false">IF(AND(EW$7=$I34,ISNUMBER($I34)),"◆","")</f>
        <v/>
      </c>
      <c r="EX34" s="57" t="str">
        <f aca="false">IF(AND(EX$7=$I34,ISNUMBER($I34)),"◆","")</f>
        <v/>
      </c>
      <c r="EY34" s="57" t="str">
        <f aca="false">IF(AND(EY$7=$I34,ISNUMBER($I34)),"◆","")</f>
        <v/>
      </c>
      <c r="EZ34" s="57" t="str">
        <f aca="false">IF(AND(EZ$7=$I34,ISNUMBER($I34)),"◆","")</f>
        <v/>
      </c>
      <c r="FA34" s="57" t="str">
        <f aca="false">IF(AND(FA$7=$I34,ISNUMBER($I34)),"◆","")</f>
        <v/>
      </c>
      <c r="FB34" s="57" t="str">
        <f aca="false">IF(AND(FB$7=$I34,ISNUMBER($I34)),"◆","")</f>
        <v/>
      </c>
      <c r="FC34" s="57" t="str">
        <f aca="false">IF(AND(FC$7=$I34,ISNUMBER($I34)),"◆","")</f>
        <v/>
      </c>
      <c r="FD34" s="57" t="str">
        <f aca="false">IF(AND(FD$7=$I34,ISNUMBER($I34)),"◆","")</f>
        <v/>
      </c>
      <c r="FE34" s="57" t="str">
        <f aca="false">IF(AND(FE$7=$I34,ISNUMBER($I34)),"◆","")</f>
        <v/>
      </c>
      <c r="FF34" s="57" t="str">
        <f aca="false">IF(AND(FF$7=$I34,ISNUMBER($I34)),"◆","")</f>
        <v/>
      </c>
      <c r="FG34" s="57" t="str">
        <f aca="false">IF(AND(FG$7=$I34,ISNUMBER($I34)),"◆","")</f>
        <v/>
      </c>
      <c r="FH34" s="57" t="str">
        <f aca="false">IF(AND(FH$7=$I34,ISNUMBER($I34)),"◆","")</f>
        <v/>
      </c>
      <c r="FI34" s="57" t="str">
        <f aca="false">IF(AND(FI$7=$I34,ISNUMBER($I34)),"◆","")</f>
        <v/>
      </c>
      <c r="FJ34" s="57" t="str">
        <f aca="false">IF(AND(FJ$7=$I34,ISNUMBER($I34)),"◆","")</f>
        <v/>
      </c>
      <c r="FK34" s="57" t="str">
        <f aca="false">IF(AND(FK$7=$I34,ISNUMBER($I34)),"◆","")</f>
        <v/>
      </c>
      <c r="FL34" s="57" t="str">
        <f aca="false">IF(AND(FL$7=$I34,ISNUMBER($I34)),"◆","")</f>
        <v/>
      </c>
      <c r="FM34" s="57" t="str">
        <f aca="false">IF(AND(FM$7=$I34,ISNUMBER($I34)),"◆","")</f>
        <v/>
      </c>
      <c r="FN34" s="57" t="str">
        <f aca="false">IF(AND(FN$7=$I34,ISNUMBER($I34)),"◆","")</f>
        <v/>
      </c>
      <c r="FO34" s="57" t="str">
        <f aca="false">IF(AND(FO$7=$I34,ISNUMBER($I34)),"◆","")</f>
        <v/>
      </c>
      <c r="FP34" s="57" t="str">
        <f aca="false">IF(AND(FP$7=$I34,ISNUMBER($I34)),"◆","")</f>
        <v/>
      </c>
      <c r="FQ34" s="57" t="str">
        <f aca="false">IF(AND(FQ$7=$I34,ISNUMBER($I34)),"◆","")</f>
        <v/>
      </c>
      <c r="FR34" s="57" t="str">
        <f aca="false">IF(AND(FR$7=$I34,ISNUMBER($I34)),"◆","")</f>
        <v/>
      </c>
      <c r="FS34" s="57" t="str">
        <f aca="false">IF(AND(FS$7=$I34,ISNUMBER($I34)),"◆","")</f>
        <v/>
      </c>
      <c r="FT34" s="57" t="str">
        <f aca="false">IF(AND(FT$7=$I34,ISNUMBER($I34)),"◆","")</f>
        <v/>
      </c>
      <c r="FU34" s="57" t="str">
        <f aca="false">IF(AND(FU$7=$I34,ISNUMBER($I34)),"◆","")</f>
        <v/>
      </c>
      <c r="FV34" s="57" t="str">
        <f aca="false">IF(AND(FV$7=$I34,ISNUMBER($I34)),"◆","")</f>
        <v/>
      </c>
    </row>
    <row r="35" customFormat="false" ht="25.5" hidden="false" customHeight="true" outlineLevel="0" collapsed="false">
      <c r="A35" s="50" t="str">
        <f aca="false">制作工程表!A29</f>
        <v>T21</v>
      </c>
      <c r="B35" s="51" t="str">
        <f aca="false">制作工程表!B29</f>
        <v>デザイン</v>
      </c>
      <c r="C35" s="52" t="str">
        <f aca="false">制作工程表!C29</f>
        <v>全13ページの展開・確定</v>
      </c>
      <c r="D35" s="53" t="str">
        <f aca="false">制作工程表!D29</f>
        <v>デザイナー</v>
      </c>
      <c r="E35" s="53" t="str">
        <f aca="false">制作工程表!E29</f>
        <v>—</v>
      </c>
      <c r="F35" s="54" t="str">
        <f aca="false">IF(制作工程表!B29="取材撮影","撮影",IF(OR(制作工程表!D29="広報窓口",制作工程表!D29="代表",制作工程表!D29="技術営業課",制作工程表!D29="品質管理課",制作工程表!D29="製造部"),"企業","制作"))</f>
        <v>制作</v>
      </c>
      <c r="G35" s="55" t="n">
        <f aca="false">制作工程表!G29</f>
        <v>46435</v>
      </c>
      <c r="H35" s="55" t="n">
        <f aca="false">制作工程表!H29</f>
        <v>46447</v>
      </c>
      <c r="I35" s="56" t="str">
        <f aca="false">制作工程表!I29</f>
        <v>—</v>
      </c>
      <c r="J35" s="51" t="str">
        <f aca="false">制作工程表!K29</f>
        <v>未着手</v>
      </c>
      <c r="K35" s="57" t="str">
        <f aca="false">IF(AND(K$7=$I35,ISNUMBER($I35)),"◆","")</f>
        <v/>
      </c>
      <c r="L35" s="57" t="str">
        <f aca="false">IF(AND(L$7=$I35,ISNUMBER($I35)),"◆","")</f>
        <v/>
      </c>
      <c r="M35" s="57" t="str">
        <f aca="false">IF(AND(M$7=$I35,ISNUMBER($I35)),"◆","")</f>
        <v/>
      </c>
      <c r="N35" s="57" t="str">
        <f aca="false">IF(AND(N$7=$I35,ISNUMBER($I35)),"◆","")</f>
        <v/>
      </c>
      <c r="O35" s="57" t="str">
        <f aca="false">IF(AND(O$7=$I35,ISNUMBER($I35)),"◆","")</f>
        <v/>
      </c>
      <c r="P35" s="57" t="str">
        <f aca="false">IF(AND(P$7=$I35,ISNUMBER($I35)),"◆","")</f>
        <v/>
      </c>
      <c r="Q35" s="57" t="str">
        <f aca="false">IF(AND(Q$7=$I35,ISNUMBER($I35)),"◆","")</f>
        <v/>
      </c>
      <c r="R35" s="57" t="str">
        <f aca="false">IF(AND(R$7=$I35,ISNUMBER($I35)),"◆","")</f>
        <v/>
      </c>
      <c r="S35" s="57" t="str">
        <f aca="false">IF(AND(S$7=$I35,ISNUMBER($I35)),"◆","")</f>
        <v/>
      </c>
      <c r="T35" s="57" t="str">
        <f aca="false">IF(AND(T$7=$I35,ISNUMBER($I35)),"◆","")</f>
        <v/>
      </c>
      <c r="U35" s="57" t="str">
        <f aca="false">IF(AND(U$7=$I35,ISNUMBER($I35)),"◆","")</f>
        <v/>
      </c>
      <c r="V35" s="57" t="str">
        <f aca="false">IF(AND(V$7=$I35,ISNUMBER($I35)),"◆","")</f>
        <v/>
      </c>
      <c r="W35" s="57" t="str">
        <f aca="false">IF(AND(W$7=$I35,ISNUMBER($I35)),"◆","")</f>
        <v/>
      </c>
      <c r="X35" s="57" t="str">
        <f aca="false">IF(AND(X$7=$I35,ISNUMBER($I35)),"◆","")</f>
        <v/>
      </c>
      <c r="Y35" s="57" t="str">
        <f aca="false">IF(AND(Y$7=$I35,ISNUMBER($I35)),"◆","")</f>
        <v/>
      </c>
      <c r="Z35" s="57" t="str">
        <f aca="false">IF(AND(Z$7=$I35,ISNUMBER($I35)),"◆","")</f>
        <v/>
      </c>
      <c r="AA35" s="57" t="str">
        <f aca="false">IF(AND(AA$7=$I35,ISNUMBER($I35)),"◆","")</f>
        <v/>
      </c>
      <c r="AB35" s="57" t="str">
        <f aca="false">IF(AND(AB$7=$I35,ISNUMBER($I35)),"◆","")</f>
        <v/>
      </c>
      <c r="AC35" s="57" t="str">
        <f aca="false">IF(AND(AC$7=$I35,ISNUMBER($I35)),"◆","")</f>
        <v/>
      </c>
      <c r="AD35" s="57" t="str">
        <f aca="false">IF(AND(AD$7=$I35,ISNUMBER($I35)),"◆","")</f>
        <v/>
      </c>
      <c r="AE35" s="57" t="str">
        <f aca="false">IF(AND(AE$7=$I35,ISNUMBER($I35)),"◆","")</f>
        <v/>
      </c>
      <c r="AF35" s="57" t="str">
        <f aca="false">IF(AND(AF$7=$I35,ISNUMBER($I35)),"◆","")</f>
        <v/>
      </c>
      <c r="AG35" s="57" t="str">
        <f aca="false">IF(AND(AG$7=$I35,ISNUMBER($I35)),"◆","")</f>
        <v/>
      </c>
      <c r="AH35" s="57" t="str">
        <f aca="false">IF(AND(AH$7=$I35,ISNUMBER($I35)),"◆","")</f>
        <v/>
      </c>
      <c r="AI35" s="57" t="str">
        <f aca="false">IF(AND(AI$7=$I35,ISNUMBER($I35)),"◆","")</f>
        <v/>
      </c>
      <c r="AJ35" s="57" t="str">
        <f aca="false">IF(AND(AJ$7=$I35,ISNUMBER($I35)),"◆","")</f>
        <v/>
      </c>
      <c r="AK35" s="57" t="str">
        <f aca="false">IF(AND(AK$7=$I35,ISNUMBER($I35)),"◆","")</f>
        <v/>
      </c>
      <c r="AL35" s="57" t="str">
        <f aca="false">IF(AND(AL$7=$I35,ISNUMBER($I35)),"◆","")</f>
        <v/>
      </c>
      <c r="AM35" s="57" t="str">
        <f aca="false">IF(AND(AM$7=$I35,ISNUMBER($I35)),"◆","")</f>
        <v/>
      </c>
      <c r="AN35" s="57" t="str">
        <f aca="false">IF(AND(AN$7=$I35,ISNUMBER($I35)),"◆","")</f>
        <v/>
      </c>
      <c r="AO35" s="57" t="str">
        <f aca="false">IF(AND(AO$7=$I35,ISNUMBER($I35)),"◆","")</f>
        <v/>
      </c>
      <c r="AP35" s="57" t="str">
        <f aca="false">IF(AND(AP$7=$I35,ISNUMBER($I35)),"◆","")</f>
        <v/>
      </c>
      <c r="AQ35" s="57" t="str">
        <f aca="false">IF(AND(AQ$7=$I35,ISNUMBER($I35)),"◆","")</f>
        <v/>
      </c>
      <c r="AR35" s="57" t="str">
        <f aca="false">IF(AND(AR$7=$I35,ISNUMBER($I35)),"◆","")</f>
        <v/>
      </c>
      <c r="AS35" s="57" t="str">
        <f aca="false">IF(AND(AS$7=$I35,ISNUMBER($I35)),"◆","")</f>
        <v/>
      </c>
      <c r="AT35" s="57" t="str">
        <f aca="false">IF(AND(AT$7=$I35,ISNUMBER($I35)),"◆","")</f>
        <v/>
      </c>
      <c r="AU35" s="57" t="str">
        <f aca="false">IF(AND(AU$7=$I35,ISNUMBER($I35)),"◆","")</f>
        <v/>
      </c>
      <c r="AV35" s="57" t="str">
        <f aca="false">IF(AND(AV$7=$I35,ISNUMBER($I35)),"◆","")</f>
        <v/>
      </c>
      <c r="AW35" s="57" t="str">
        <f aca="false">IF(AND(AW$7=$I35,ISNUMBER($I35)),"◆","")</f>
        <v/>
      </c>
      <c r="AX35" s="57" t="str">
        <f aca="false">IF(AND(AX$7=$I35,ISNUMBER($I35)),"◆","")</f>
        <v/>
      </c>
      <c r="AY35" s="57" t="str">
        <f aca="false">IF(AND(AY$7=$I35,ISNUMBER($I35)),"◆","")</f>
        <v/>
      </c>
      <c r="AZ35" s="57" t="str">
        <f aca="false">IF(AND(AZ$7=$I35,ISNUMBER($I35)),"◆","")</f>
        <v/>
      </c>
      <c r="BA35" s="57" t="str">
        <f aca="false">IF(AND(BA$7=$I35,ISNUMBER($I35)),"◆","")</f>
        <v/>
      </c>
      <c r="BB35" s="57" t="str">
        <f aca="false">IF(AND(BB$7=$I35,ISNUMBER($I35)),"◆","")</f>
        <v/>
      </c>
      <c r="BC35" s="57" t="str">
        <f aca="false">IF(AND(BC$7=$I35,ISNUMBER($I35)),"◆","")</f>
        <v/>
      </c>
      <c r="BD35" s="57" t="str">
        <f aca="false">IF(AND(BD$7=$I35,ISNUMBER($I35)),"◆","")</f>
        <v/>
      </c>
      <c r="BE35" s="57" t="str">
        <f aca="false">IF(AND(BE$7=$I35,ISNUMBER($I35)),"◆","")</f>
        <v/>
      </c>
      <c r="BF35" s="57" t="str">
        <f aca="false">IF(AND(BF$7=$I35,ISNUMBER($I35)),"◆","")</f>
        <v/>
      </c>
      <c r="BG35" s="57" t="str">
        <f aca="false">IF(AND(BG$7=$I35,ISNUMBER($I35)),"◆","")</f>
        <v/>
      </c>
      <c r="BH35" s="57" t="str">
        <f aca="false">IF(AND(BH$7=$I35,ISNUMBER($I35)),"◆","")</f>
        <v/>
      </c>
      <c r="BI35" s="57" t="str">
        <f aca="false">IF(AND(BI$7=$I35,ISNUMBER($I35)),"◆","")</f>
        <v/>
      </c>
      <c r="BJ35" s="57" t="str">
        <f aca="false">IF(AND(BJ$7=$I35,ISNUMBER($I35)),"◆","")</f>
        <v/>
      </c>
      <c r="BK35" s="57" t="str">
        <f aca="false">IF(AND(BK$7=$I35,ISNUMBER($I35)),"◆","")</f>
        <v/>
      </c>
      <c r="BL35" s="57" t="str">
        <f aca="false">IF(AND(BL$7=$I35,ISNUMBER($I35)),"◆","")</f>
        <v/>
      </c>
      <c r="BM35" s="57" t="str">
        <f aca="false">IF(AND(BM$7=$I35,ISNUMBER($I35)),"◆","")</f>
        <v/>
      </c>
      <c r="BN35" s="57" t="str">
        <f aca="false">IF(AND(BN$7=$I35,ISNUMBER($I35)),"◆","")</f>
        <v/>
      </c>
      <c r="BO35" s="57" t="str">
        <f aca="false">IF(AND(BO$7=$I35,ISNUMBER($I35)),"◆","")</f>
        <v/>
      </c>
      <c r="BP35" s="57" t="str">
        <f aca="false">IF(AND(BP$7=$I35,ISNUMBER($I35)),"◆","")</f>
        <v/>
      </c>
      <c r="BQ35" s="57" t="str">
        <f aca="false">IF(AND(BQ$7=$I35,ISNUMBER($I35)),"◆","")</f>
        <v/>
      </c>
      <c r="BR35" s="57" t="str">
        <f aca="false">IF(AND(BR$7=$I35,ISNUMBER($I35)),"◆","")</f>
        <v/>
      </c>
      <c r="BS35" s="57" t="str">
        <f aca="false">IF(AND(BS$7=$I35,ISNUMBER($I35)),"◆","")</f>
        <v/>
      </c>
      <c r="BT35" s="57" t="str">
        <f aca="false">IF(AND(BT$7=$I35,ISNUMBER($I35)),"◆","")</f>
        <v/>
      </c>
      <c r="BU35" s="57" t="str">
        <f aca="false">IF(AND(BU$7=$I35,ISNUMBER($I35)),"◆","")</f>
        <v/>
      </c>
      <c r="BV35" s="57" t="str">
        <f aca="false">IF(AND(BV$7=$I35,ISNUMBER($I35)),"◆","")</f>
        <v/>
      </c>
      <c r="BW35" s="57" t="str">
        <f aca="false">IF(AND(BW$7=$I35,ISNUMBER($I35)),"◆","")</f>
        <v/>
      </c>
      <c r="BX35" s="57" t="str">
        <f aca="false">IF(AND(BX$7=$I35,ISNUMBER($I35)),"◆","")</f>
        <v/>
      </c>
      <c r="BY35" s="57" t="str">
        <f aca="false">IF(AND(BY$7=$I35,ISNUMBER($I35)),"◆","")</f>
        <v/>
      </c>
      <c r="BZ35" s="57" t="str">
        <f aca="false">IF(AND(BZ$7=$I35,ISNUMBER($I35)),"◆","")</f>
        <v/>
      </c>
      <c r="CA35" s="57" t="str">
        <f aca="false">IF(AND(CA$7=$I35,ISNUMBER($I35)),"◆","")</f>
        <v/>
      </c>
      <c r="CB35" s="57" t="str">
        <f aca="false">IF(AND(CB$7=$I35,ISNUMBER($I35)),"◆","")</f>
        <v/>
      </c>
      <c r="CC35" s="57" t="str">
        <f aca="false">IF(AND(CC$7=$I35,ISNUMBER($I35)),"◆","")</f>
        <v/>
      </c>
      <c r="CD35" s="57" t="str">
        <f aca="false">IF(AND(CD$7=$I35,ISNUMBER($I35)),"◆","")</f>
        <v/>
      </c>
      <c r="CE35" s="57" t="str">
        <f aca="false">IF(AND(CE$7=$I35,ISNUMBER($I35)),"◆","")</f>
        <v/>
      </c>
      <c r="CF35" s="57" t="str">
        <f aca="false">IF(AND(CF$7=$I35,ISNUMBER($I35)),"◆","")</f>
        <v/>
      </c>
      <c r="CG35" s="57" t="str">
        <f aca="false">IF(AND(CG$7=$I35,ISNUMBER($I35)),"◆","")</f>
        <v/>
      </c>
      <c r="CH35" s="57" t="str">
        <f aca="false">IF(AND(CH$7=$I35,ISNUMBER($I35)),"◆","")</f>
        <v/>
      </c>
      <c r="CI35" s="57" t="str">
        <f aca="false">IF(AND(CI$7=$I35,ISNUMBER($I35)),"◆","")</f>
        <v/>
      </c>
      <c r="CJ35" s="57" t="str">
        <f aca="false">IF(AND(CJ$7=$I35,ISNUMBER($I35)),"◆","")</f>
        <v/>
      </c>
      <c r="CK35" s="57" t="str">
        <f aca="false">IF(AND(CK$7=$I35,ISNUMBER($I35)),"◆","")</f>
        <v/>
      </c>
      <c r="CL35" s="57" t="str">
        <f aca="false">IF(AND(CL$7=$I35,ISNUMBER($I35)),"◆","")</f>
        <v/>
      </c>
      <c r="CM35" s="57" t="str">
        <f aca="false">IF(AND(CM$7=$I35,ISNUMBER($I35)),"◆","")</f>
        <v/>
      </c>
      <c r="CN35" s="57" t="str">
        <f aca="false">IF(AND(CN$7=$I35,ISNUMBER($I35)),"◆","")</f>
        <v/>
      </c>
      <c r="CO35" s="57" t="str">
        <f aca="false">IF(AND(CO$7=$I35,ISNUMBER($I35)),"◆","")</f>
        <v/>
      </c>
      <c r="CP35" s="57" t="str">
        <f aca="false">IF(AND(CP$7=$I35,ISNUMBER($I35)),"◆","")</f>
        <v/>
      </c>
      <c r="CQ35" s="57" t="str">
        <f aca="false">IF(AND(CQ$7=$I35,ISNUMBER($I35)),"◆","")</f>
        <v/>
      </c>
      <c r="CR35" s="57" t="str">
        <f aca="false">IF(AND(CR$7=$I35,ISNUMBER($I35)),"◆","")</f>
        <v/>
      </c>
      <c r="CS35" s="57" t="str">
        <f aca="false">IF(AND(CS$7=$I35,ISNUMBER($I35)),"◆","")</f>
        <v/>
      </c>
      <c r="CT35" s="57" t="str">
        <f aca="false">IF(AND(CT$7=$I35,ISNUMBER($I35)),"◆","")</f>
        <v/>
      </c>
      <c r="CU35" s="57" t="str">
        <f aca="false">IF(AND(CU$7=$I35,ISNUMBER($I35)),"◆","")</f>
        <v/>
      </c>
      <c r="CV35" s="57" t="str">
        <f aca="false">IF(AND(CV$7=$I35,ISNUMBER($I35)),"◆","")</f>
        <v/>
      </c>
      <c r="CW35" s="57" t="str">
        <f aca="false">IF(AND(CW$7=$I35,ISNUMBER($I35)),"◆","")</f>
        <v/>
      </c>
      <c r="CX35" s="57" t="str">
        <f aca="false">IF(AND(CX$7=$I35,ISNUMBER($I35)),"◆","")</f>
        <v/>
      </c>
      <c r="CY35" s="57" t="str">
        <f aca="false">IF(AND(CY$7=$I35,ISNUMBER($I35)),"◆","")</f>
        <v/>
      </c>
      <c r="CZ35" s="57" t="str">
        <f aca="false">IF(AND(CZ$7=$I35,ISNUMBER($I35)),"◆","")</f>
        <v/>
      </c>
      <c r="DA35" s="57" t="str">
        <f aca="false">IF(AND(DA$7=$I35,ISNUMBER($I35)),"◆","")</f>
        <v/>
      </c>
      <c r="DB35" s="57" t="str">
        <f aca="false">IF(AND(DB$7=$I35,ISNUMBER($I35)),"◆","")</f>
        <v/>
      </c>
      <c r="DC35" s="57" t="str">
        <f aca="false">IF(AND(DC$7=$I35,ISNUMBER($I35)),"◆","")</f>
        <v/>
      </c>
      <c r="DD35" s="57" t="str">
        <f aca="false">IF(AND(DD$7=$I35,ISNUMBER($I35)),"◆","")</f>
        <v/>
      </c>
      <c r="DE35" s="57" t="str">
        <f aca="false">IF(AND(DE$7=$I35,ISNUMBER($I35)),"◆","")</f>
        <v/>
      </c>
      <c r="DF35" s="57" t="str">
        <f aca="false">IF(AND(DF$7=$I35,ISNUMBER($I35)),"◆","")</f>
        <v/>
      </c>
      <c r="DG35" s="57" t="str">
        <f aca="false">IF(AND(DG$7=$I35,ISNUMBER($I35)),"◆","")</f>
        <v/>
      </c>
      <c r="DH35" s="57" t="str">
        <f aca="false">IF(AND(DH$7=$I35,ISNUMBER($I35)),"◆","")</f>
        <v/>
      </c>
      <c r="DI35" s="57" t="str">
        <f aca="false">IF(AND(DI$7=$I35,ISNUMBER($I35)),"◆","")</f>
        <v/>
      </c>
      <c r="DJ35" s="57" t="str">
        <f aca="false">IF(AND(DJ$7=$I35,ISNUMBER($I35)),"◆","")</f>
        <v/>
      </c>
      <c r="DK35" s="57" t="str">
        <f aca="false">IF(AND(DK$7=$I35,ISNUMBER($I35)),"◆","")</f>
        <v/>
      </c>
      <c r="DL35" s="57" t="str">
        <f aca="false">IF(AND(DL$7=$I35,ISNUMBER($I35)),"◆","")</f>
        <v/>
      </c>
      <c r="DM35" s="57" t="str">
        <f aca="false">IF(AND(DM$7=$I35,ISNUMBER($I35)),"◆","")</f>
        <v/>
      </c>
      <c r="DN35" s="57" t="str">
        <f aca="false">IF(AND(DN$7=$I35,ISNUMBER($I35)),"◆","")</f>
        <v/>
      </c>
      <c r="DO35" s="57" t="str">
        <f aca="false">IF(AND(DO$7=$I35,ISNUMBER($I35)),"◆","")</f>
        <v/>
      </c>
      <c r="DP35" s="57" t="str">
        <f aca="false">IF(AND(DP$7=$I35,ISNUMBER($I35)),"◆","")</f>
        <v/>
      </c>
      <c r="DQ35" s="57" t="str">
        <f aca="false">IF(AND(DQ$7=$I35,ISNUMBER($I35)),"◆","")</f>
        <v/>
      </c>
      <c r="DR35" s="57" t="str">
        <f aca="false">IF(AND(DR$7=$I35,ISNUMBER($I35)),"◆","")</f>
        <v/>
      </c>
      <c r="DS35" s="57" t="str">
        <f aca="false">IF(AND(DS$7=$I35,ISNUMBER($I35)),"◆","")</f>
        <v/>
      </c>
      <c r="DT35" s="57" t="str">
        <f aca="false">IF(AND(DT$7=$I35,ISNUMBER($I35)),"◆","")</f>
        <v/>
      </c>
      <c r="DU35" s="57" t="str">
        <f aca="false">IF(AND(DU$7=$I35,ISNUMBER($I35)),"◆","")</f>
        <v/>
      </c>
      <c r="DV35" s="57" t="str">
        <f aca="false">IF(AND(DV$7=$I35,ISNUMBER($I35)),"◆","")</f>
        <v/>
      </c>
      <c r="DW35" s="57" t="str">
        <f aca="false">IF(AND(DW$7=$I35,ISNUMBER($I35)),"◆","")</f>
        <v/>
      </c>
      <c r="DX35" s="57" t="str">
        <f aca="false">IF(AND(DX$7=$I35,ISNUMBER($I35)),"◆","")</f>
        <v/>
      </c>
      <c r="DY35" s="57" t="str">
        <f aca="false">IF(AND(DY$7=$I35,ISNUMBER($I35)),"◆","")</f>
        <v/>
      </c>
      <c r="DZ35" s="57" t="str">
        <f aca="false">IF(AND(DZ$7=$I35,ISNUMBER($I35)),"◆","")</f>
        <v/>
      </c>
      <c r="EA35" s="57" t="str">
        <f aca="false">IF(AND(EA$7=$I35,ISNUMBER($I35)),"◆","")</f>
        <v/>
      </c>
      <c r="EB35" s="57" t="str">
        <f aca="false">IF(AND(EB$7=$I35,ISNUMBER($I35)),"◆","")</f>
        <v/>
      </c>
      <c r="EC35" s="57" t="str">
        <f aca="false">IF(AND(EC$7=$I35,ISNUMBER($I35)),"◆","")</f>
        <v/>
      </c>
      <c r="ED35" s="57" t="str">
        <f aca="false">IF(AND(ED$7=$I35,ISNUMBER($I35)),"◆","")</f>
        <v/>
      </c>
      <c r="EE35" s="57" t="str">
        <f aca="false">IF(AND(EE$7=$I35,ISNUMBER($I35)),"◆","")</f>
        <v/>
      </c>
      <c r="EF35" s="57" t="str">
        <f aca="false">IF(AND(EF$7=$I35,ISNUMBER($I35)),"◆","")</f>
        <v/>
      </c>
      <c r="EG35" s="57" t="str">
        <f aca="false">IF(AND(EG$7=$I35,ISNUMBER($I35)),"◆","")</f>
        <v/>
      </c>
      <c r="EH35" s="57" t="str">
        <f aca="false">IF(AND(EH$7=$I35,ISNUMBER($I35)),"◆","")</f>
        <v/>
      </c>
      <c r="EI35" s="57" t="str">
        <f aca="false">IF(AND(EI$7=$I35,ISNUMBER($I35)),"◆","")</f>
        <v/>
      </c>
      <c r="EJ35" s="57" t="str">
        <f aca="false">IF(AND(EJ$7=$I35,ISNUMBER($I35)),"◆","")</f>
        <v/>
      </c>
      <c r="EK35" s="57" t="str">
        <f aca="false">IF(AND(EK$7=$I35,ISNUMBER($I35)),"◆","")</f>
        <v/>
      </c>
      <c r="EL35" s="57" t="str">
        <f aca="false">IF(AND(EL$7=$I35,ISNUMBER($I35)),"◆","")</f>
        <v/>
      </c>
      <c r="EM35" s="57" t="str">
        <f aca="false">IF(AND(EM$7=$I35,ISNUMBER($I35)),"◆","")</f>
        <v/>
      </c>
      <c r="EN35" s="57" t="str">
        <f aca="false">IF(AND(EN$7=$I35,ISNUMBER($I35)),"◆","")</f>
        <v/>
      </c>
      <c r="EO35" s="57" t="str">
        <f aca="false">IF(AND(EO$7=$I35,ISNUMBER($I35)),"◆","")</f>
        <v/>
      </c>
      <c r="EP35" s="57" t="str">
        <f aca="false">IF(AND(EP$7=$I35,ISNUMBER($I35)),"◆","")</f>
        <v/>
      </c>
      <c r="EQ35" s="57" t="str">
        <f aca="false">IF(AND(EQ$7=$I35,ISNUMBER($I35)),"◆","")</f>
        <v/>
      </c>
      <c r="ER35" s="57" t="str">
        <f aca="false">IF(AND(ER$7=$I35,ISNUMBER($I35)),"◆","")</f>
        <v/>
      </c>
      <c r="ES35" s="57" t="str">
        <f aca="false">IF(AND(ES$7=$I35,ISNUMBER($I35)),"◆","")</f>
        <v/>
      </c>
      <c r="ET35" s="57" t="str">
        <f aca="false">IF(AND(ET$7=$I35,ISNUMBER($I35)),"◆","")</f>
        <v/>
      </c>
      <c r="EU35" s="57" t="str">
        <f aca="false">IF(AND(EU$7=$I35,ISNUMBER($I35)),"◆","")</f>
        <v/>
      </c>
      <c r="EV35" s="57" t="str">
        <f aca="false">IF(AND(EV$7=$I35,ISNUMBER($I35)),"◆","")</f>
        <v/>
      </c>
      <c r="EW35" s="57" t="str">
        <f aca="false">IF(AND(EW$7=$I35,ISNUMBER($I35)),"◆","")</f>
        <v/>
      </c>
      <c r="EX35" s="57" t="str">
        <f aca="false">IF(AND(EX$7=$I35,ISNUMBER($I35)),"◆","")</f>
        <v/>
      </c>
      <c r="EY35" s="57" t="str">
        <f aca="false">IF(AND(EY$7=$I35,ISNUMBER($I35)),"◆","")</f>
        <v/>
      </c>
      <c r="EZ35" s="57" t="str">
        <f aca="false">IF(AND(EZ$7=$I35,ISNUMBER($I35)),"◆","")</f>
        <v/>
      </c>
      <c r="FA35" s="57" t="str">
        <f aca="false">IF(AND(FA$7=$I35,ISNUMBER($I35)),"◆","")</f>
        <v/>
      </c>
      <c r="FB35" s="57" t="str">
        <f aca="false">IF(AND(FB$7=$I35,ISNUMBER($I35)),"◆","")</f>
        <v/>
      </c>
      <c r="FC35" s="57" t="str">
        <f aca="false">IF(AND(FC$7=$I35,ISNUMBER($I35)),"◆","")</f>
        <v/>
      </c>
      <c r="FD35" s="57" t="str">
        <f aca="false">IF(AND(FD$7=$I35,ISNUMBER($I35)),"◆","")</f>
        <v/>
      </c>
      <c r="FE35" s="57" t="str">
        <f aca="false">IF(AND(FE$7=$I35,ISNUMBER($I35)),"◆","")</f>
        <v/>
      </c>
      <c r="FF35" s="57" t="str">
        <f aca="false">IF(AND(FF$7=$I35,ISNUMBER($I35)),"◆","")</f>
        <v/>
      </c>
      <c r="FG35" s="57" t="str">
        <f aca="false">IF(AND(FG$7=$I35,ISNUMBER($I35)),"◆","")</f>
        <v/>
      </c>
      <c r="FH35" s="57" t="str">
        <f aca="false">IF(AND(FH$7=$I35,ISNUMBER($I35)),"◆","")</f>
        <v/>
      </c>
      <c r="FI35" s="57" t="str">
        <f aca="false">IF(AND(FI$7=$I35,ISNUMBER($I35)),"◆","")</f>
        <v/>
      </c>
      <c r="FJ35" s="57" t="str">
        <f aca="false">IF(AND(FJ$7=$I35,ISNUMBER($I35)),"◆","")</f>
        <v/>
      </c>
      <c r="FK35" s="57" t="str">
        <f aca="false">IF(AND(FK$7=$I35,ISNUMBER($I35)),"◆","")</f>
        <v/>
      </c>
      <c r="FL35" s="57" t="str">
        <f aca="false">IF(AND(FL$7=$I35,ISNUMBER($I35)),"◆","")</f>
        <v/>
      </c>
      <c r="FM35" s="57" t="str">
        <f aca="false">IF(AND(FM$7=$I35,ISNUMBER($I35)),"◆","")</f>
        <v/>
      </c>
      <c r="FN35" s="57" t="str">
        <f aca="false">IF(AND(FN$7=$I35,ISNUMBER($I35)),"◆","")</f>
        <v/>
      </c>
      <c r="FO35" s="57" t="str">
        <f aca="false">IF(AND(FO$7=$I35,ISNUMBER($I35)),"◆","")</f>
        <v/>
      </c>
      <c r="FP35" s="57" t="str">
        <f aca="false">IF(AND(FP$7=$I35,ISNUMBER($I35)),"◆","")</f>
        <v/>
      </c>
      <c r="FQ35" s="57" t="str">
        <f aca="false">IF(AND(FQ$7=$I35,ISNUMBER($I35)),"◆","")</f>
        <v/>
      </c>
      <c r="FR35" s="57" t="str">
        <f aca="false">IF(AND(FR$7=$I35,ISNUMBER($I35)),"◆","")</f>
        <v/>
      </c>
      <c r="FS35" s="57" t="str">
        <f aca="false">IF(AND(FS$7=$I35,ISNUMBER($I35)),"◆","")</f>
        <v/>
      </c>
      <c r="FT35" s="57" t="str">
        <f aca="false">IF(AND(FT$7=$I35,ISNUMBER($I35)),"◆","")</f>
        <v/>
      </c>
      <c r="FU35" s="57" t="str">
        <f aca="false">IF(AND(FU$7=$I35,ISNUMBER($I35)),"◆","")</f>
        <v/>
      </c>
      <c r="FV35" s="57" t="str">
        <f aca="false">IF(AND(FV$7=$I35,ISNUMBER($I35)),"◆","")</f>
        <v/>
      </c>
    </row>
    <row r="36" customFormat="false" ht="21.75" hidden="false" customHeight="true" outlineLevel="0" collapsed="false">
      <c r="A36" s="45" t="s">
        <v>81</v>
      </c>
      <c r="B36" s="45"/>
      <c r="C36" s="45"/>
      <c r="D36" s="45"/>
      <c r="E36" s="45"/>
      <c r="F36" s="46" t="s">
        <v>76</v>
      </c>
      <c r="G36" s="47" t="n">
        <f aca="false">MIN(制作工程表!G30:G34)</f>
        <v>46448</v>
      </c>
      <c r="H36" s="47" t="n">
        <f aca="false">MAX(制作工程表!H30:H34)</f>
        <v>46483</v>
      </c>
      <c r="I36" s="47" t="n">
        <f aca="false">IF(MAX(制作工程表!I30:I34)=0,"—",MAX(制作工程表!I30:I34))</f>
        <v>46478</v>
      </c>
      <c r="J36" s="48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49"/>
      <c r="FO36" s="49"/>
      <c r="FP36" s="49"/>
      <c r="FQ36" s="49"/>
      <c r="FR36" s="49"/>
      <c r="FS36" s="49"/>
      <c r="FT36" s="49"/>
      <c r="FU36" s="49"/>
      <c r="FV36" s="49"/>
    </row>
    <row r="37" customFormat="false" ht="25.5" hidden="false" customHeight="true" outlineLevel="0" collapsed="false">
      <c r="A37" s="50" t="str">
        <f aca="false">制作工程表!A30</f>
        <v>T22</v>
      </c>
      <c r="B37" s="51" t="str">
        <f aca="false">制作工程表!B30</f>
        <v>実装</v>
      </c>
      <c r="C37" s="52" t="str">
        <f aca="false">制作工程表!C30</f>
        <v>ページ実装・素材比較機能・フォーム</v>
      </c>
      <c r="D37" s="53" t="str">
        <f aca="false">制作工程表!D30</f>
        <v>実装担当</v>
      </c>
      <c r="E37" s="53" t="str">
        <f aca="false">制作工程表!E30</f>
        <v>—</v>
      </c>
      <c r="F37" s="54" t="str">
        <f aca="false">IF(制作工程表!B30="取材撮影","撮影",IF(OR(制作工程表!D30="広報窓口",制作工程表!D30="代表",制作工程表!D30="技術営業課",制作工程表!D30="品質管理課",制作工程表!D30="製造部"),"企業","制作"))</f>
        <v>制作</v>
      </c>
      <c r="G37" s="55" t="n">
        <f aca="false">制作工程表!G30</f>
        <v>46448</v>
      </c>
      <c r="H37" s="55" t="n">
        <f aca="false">制作工程表!H30</f>
        <v>46463</v>
      </c>
      <c r="I37" s="56" t="str">
        <f aca="false">制作工程表!I30</f>
        <v>—</v>
      </c>
      <c r="J37" s="51" t="str">
        <f aca="false">制作工程表!K30</f>
        <v>未着手</v>
      </c>
      <c r="K37" s="57" t="str">
        <f aca="false">IF(AND(K$7=$I37,ISNUMBER($I37)),"◆","")</f>
        <v/>
      </c>
      <c r="L37" s="57" t="str">
        <f aca="false">IF(AND(L$7=$I37,ISNUMBER($I37)),"◆","")</f>
        <v/>
      </c>
      <c r="M37" s="57" t="str">
        <f aca="false">IF(AND(M$7=$I37,ISNUMBER($I37)),"◆","")</f>
        <v/>
      </c>
      <c r="N37" s="57" t="str">
        <f aca="false">IF(AND(N$7=$I37,ISNUMBER($I37)),"◆","")</f>
        <v/>
      </c>
      <c r="O37" s="57" t="str">
        <f aca="false">IF(AND(O$7=$I37,ISNUMBER($I37)),"◆","")</f>
        <v/>
      </c>
      <c r="P37" s="57" t="str">
        <f aca="false">IF(AND(P$7=$I37,ISNUMBER($I37)),"◆","")</f>
        <v/>
      </c>
      <c r="Q37" s="57" t="str">
        <f aca="false">IF(AND(Q$7=$I37,ISNUMBER($I37)),"◆","")</f>
        <v/>
      </c>
      <c r="R37" s="57" t="str">
        <f aca="false">IF(AND(R$7=$I37,ISNUMBER($I37)),"◆","")</f>
        <v/>
      </c>
      <c r="S37" s="57" t="str">
        <f aca="false">IF(AND(S$7=$I37,ISNUMBER($I37)),"◆","")</f>
        <v/>
      </c>
      <c r="T37" s="57" t="str">
        <f aca="false">IF(AND(T$7=$I37,ISNUMBER($I37)),"◆","")</f>
        <v/>
      </c>
      <c r="U37" s="57" t="str">
        <f aca="false">IF(AND(U$7=$I37,ISNUMBER($I37)),"◆","")</f>
        <v/>
      </c>
      <c r="V37" s="57" t="str">
        <f aca="false">IF(AND(V$7=$I37,ISNUMBER($I37)),"◆","")</f>
        <v/>
      </c>
      <c r="W37" s="57" t="str">
        <f aca="false">IF(AND(W$7=$I37,ISNUMBER($I37)),"◆","")</f>
        <v/>
      </c>
      <c r="X37" s="57" t="str">
        <f aca="false">IF(AND(X$7=$I37,ISNUMBER($I37)),"◆","")</f>
        <v/>
      </c>
      <c r="Y37" s="57" t="str">
        <f aca="false">IF(AND(Y$7=$I37,ISNUMBER($I37)),"◆","")</f>
        <v/>
      </c>
      <c r="Z37" s="57" t="str">
        <f aca="false">IF(AND(Z$7=$I37,ISNUMBER($I37)),"◆","")</f>
        <v/>
      </c>
      <c r="AA37" s="57" t="str">
        <f aca="false">IF(AND(AA$7=$I37,ISNUMBER($I37)),"◆","")</f>
        <v/>
      </c>
      <c r="AB37" s="57" t="str">
        <f aca="false">IF(AND(AB$7=$I37,ISNUMBER($I37)),"◆","")</f>
        <v/>
      </c>
      <c r="AC37" s="57" t="str">
        <f aca="false">IF(AND(AC$7=$I37,ISNUMBER($I37)),"◆","")</f>
        <v/>
      </c>
      <c r="AD37" s="57" t="str">
        <f aca="false">IF(AND(AD$7=$I37,ISNUMBER($I37)),"◆","")</f>
        <v/>
      </c>
      <c r="AE37" s="57" t="str">
        <f aca="false">IF(AND(AE$7=$I37,ISNUMBER($I37)),"◆","")</f>
        <v/>
      </c>
      <c r="AF37" s="57" t="str">
        <f aca="false">IF(AND(AF$7=$I37,ISNUMBER($I37)),"◆","")</f>
        <v/>
      </c>
      <c r="AG37" s="57" t="str">
        <f aca="false">IF(AND(AG$7=$I37,ISNUMBER($I37)),"◆","")</f>
        <v/>
      </c>
      <c r="AH37" s="57" t="str">
        <f aca="false">IF(AND(AH$7=$I37,ISNUMBER($I37)),"◆","")</f>
        <v/>
      </c>
      <c r="AI37" s="57" t="str">
        <f aca="false">IF(AND(AI$7=$I37,ISNUMBER($I37)),"◆","")</f>
        <v/>
      </c>
      <c r="AJ37" s="57" t="str">
        <f aca="false">IF(AND(AJ$7=$I37,ISNUMBER($I37)),"◆","")</f>
        <v/>
      </c>
      <c r="AK37" s="57" t="str">
        <f aca="false">IF(AND(AK$7=$I37,ISNUMBER($I37)),"◆","")</f>
        <v/>
      </c>
      <c r="AL37" s="57" t="str">
        <f aca="false">IF(AND(AL$7=$I37,ISNUMBER($I37)),"◆","")</f>
        <v/>
      </c>
      <c r="AM37" s="57" t="str">
        <f aca="false">IF(AND(AM$7=$I37,ISNUMBER($I37)),"◆","")</f>
        <v/>
      </c>
      <c r="AN37" s="57" t="str">
        <f aca="false">IF(AND(AN$7=$I37,ISNUMBER($I37)),"◆","")</f>
        <v/>
      </c>
      <c r="AO37" s="57" t="str">
        <f aca="false">IF(AND(AO$7=$I37,ISNUMBER($I37)),"◆","")</f>
        <v/>
      </c>
      <c r="AP37" s="57" t="str">
        <f aca="false">IF(AND(AP$7=$I37,ISNUMBER($I37)),"◆","")</f>
        <v/>
      </c>
      <c r="AQ37" s="57" t="str">
        <f aca="false">IF(AND(AQ$7=$I37,ISNUMBER($I37)),"◆","")</f>
        <v/>
      </c>
      <c r="AR37" s="57" t="str">
        <f aca="false">IF(AND(AR$7=$I37,ISNUMBER($I37)),"◆","")</f>
        <v/>
      </c>
      <c r="AS37" s="57" t="str">
        <f aca="false">IF(AND(AS$7=$I37,ISNUMBER($I37)),"◆","")</f>
        <v/>
      </c>
      <c r="AT37" s="57" t="str">
        <f aca="false">IF(AND(AT$7=$I37,ISNUMBER($I37)),"◆","")</f>
        <v/>
      </c>
      <c r="AU37" s="57" t="str">
        <f aca="false">IF(AND(AU$7=$I37,ISNUMBER($I37)),"◆","")</f>
        <v/>
      </c>
      <c r="AV37" s="57" t="str">
        <f aca="false">IF(AND(AV$7=$I37,ISNUMBER($I37)),"◆","")</f>
        <v/>
      </c>
      <c r="AW37" s="57" t="str">
        <f aca="false">IF(AND(AW$7=$I37,ISNUMBER($I37)),"◆","")</f>
        <v/>
      </c>
      <c r="AX37" s="57" t="str">
        <f aca="false">IF(AND(AX$7=$I37,ISNUMBER($I37)),"◆","")</f>
        <v/>
      </c>
      <c r="AY37" s="57" t="str">
        <f aca="false">IF(AND(AY$7=$I37,ISNUMBER($I37)),"◆","")</f>
        <v/>
      </c>
      <c r="AZ37" s="57" t="str">
        <f aca="false">IF(AND(AZ$7=$I37,ISNUMBER($I37)),"◆","")</f>
        <v/>
      </c>
      <c r="BA37" s="57" t="str">
        <f aca="false">IF(AND(BA$7=$I37,ISNUMBER($I37)),"◆","")</f>
        <v/>
      </c>
      <c r="BB37" s="57" t="str">
        <f aca="false">IF(AND(BB$7=$I37,ISNUMBER($I37)),"◆","")</f>
        <v/>
      </c>
      <c r="BC37" s="57" t="str">
        <f aca="false">IF(AND(BC$7=$I37,ISNUMBER($I37)),"◆","")</f>
        <v/>
      </c>
      <c r="BD37" s="57" t="str">
        <f aca="false">IF(AND(BD$7=$I37,ISNUMBER($I37)),"◆","")</f>
        <v/>
      </c>
      <c r="BE37" s="57" t="str">
        <f aca="false">IF(AND(BE$7=$I37,ISNUMBER($I37)),"◆","")</f>
        <v/>
      </c>
      <c r="BF37" s="57" t="str">
        <f aca="false">IF(AND(BF$7=$I37,ISNUMBER($I37)),"◆","")</f>
        <v/>
      </c>
      <c r="BG37" s="57" t="str">
        <f aca="false">IF(AND(BG$7=$I37,ISNUMBER($I37)),"◆","")</f>
        <v/>
      </c>
      <c r="BH37" s="57" t="str">
        <f aca="false">IF(AND(BH$7=$I37,ISNUMBER($I37)),"◆","")</f>
        <v/>
      </c>
      <c r="BI37" s="57" t="str">
        <f aca="false">IF(AND(BI$7=$I37,ISNUMBER($I37)),"◆","")</f>
        <v/>
      </c>
      <c r="BJ37" s="57" t="str">
        <f aca="false">IF(AND(BJ$7=$I37,ISNUMBER($I37)),"◆","")</f>
        <v/>
      </c>
      <c r="BK37" s="57" t="str">
        <f aca="false">IF(AND(BK$7=$I37,ISNUMBER($I37)),"◆","")</f>
        <v/>
      </c>
      <c r="BL37" s="57" t="str">
        <f aca="false">IF(AND(BL$7=$I37,ISNUMBER($I37)),"◆","")</f>
        <v/>
      </c>
      <c r="BM37" s="57" t="str">
        <f aca="false">IF(AND(BM$7=$I37,ISNUMBER($I37)),"◆","")</f>
        <v/>
      </c>
      <c r="BN37" s="57" t="str">
        <f aca="false">IF(AND(BN$7=$I37,ISNUMBER($I37)),"◆","")</f>
        <v/>
      </c>
      <c r="BO37" s="57" t="str">
        <f aca="false">IF(AND(BO$7=$I37,ISNUMBER($I37)),"◆","")</f>
        <v/>
      </c>
      <c r="BP37" s="57" t="str">
        <f aca="false">IF(AND(BP$7=$I37,ISNUMBER($I37)),"◆","")</f>
        <v/>
      </c>
      <c r="BQ37" s="57" t="str">
        <f aca="false">IF(AND(BQ$7=$I37,ISNUMBER($I37)),"◆","")</f>
        <v/>
      </c>
      <c r="BR37" s="57" t="str">
        <f aca="false">IF(AND(BR$7=$I37,ISNUMBER($I37)),"◆","")</f>
        <v/>
      </c>
      <c r="BS37" s="57" t="str">
        <f aca="false">IF(AND(BS$7=$I37,ISNUMBER($I37)),"◆","")</f>
        <v/>
      </c>
      <c r="BT37" s="57" t="str">
        <f aca="false">IF(AND(BT$7=$I37,ISNUMBER($I37)),"◆","")</f>
        <v/>
      </c>
      <c r="BU37" s="57" t="str">
        <f aca="false">IF(AND(BU$7=$I37,ISNUMBER($I37)),"◆","")</f>
        <v/>
      </c>
      <c r="BV37" s="57" t="str">
        <f aca="false">IF(AND(BV$7=$I37,ISNUMBER($I37)),"◆","")</f>
        <v/>
      </c>
      <c r="BW37" s="57" t="str">
        <f aca="false">IF(AND(BW$7=$I37,ISNUMBER($I37)),"◆","")</f>
        <v/>
      </c>
      <c r="BX37" s="57" t="str">
        <f aca="false">IF(AND(BX$7=$I37,ISNUMBER($I37)),"◆","")</f>
        <v/>
      </c>
      <c r="BY37" s="57" t="str">
        <f aca="false">IF(AND(BY$7=$I37,ISNUMBER($I37)),"◆","")</f>
        <v/>
      </c>
      <c r="BZ37" s="57" t="str">
        <f aca="false">IF(AND(BZ$7=$I37,ISNUMBER($I37)),"◆","")</f>
        <v/>
      </c>
      <c r="CA37" s="57" t="str">
        <f aca="false">IF(AND(CA$7=$I37,ISNUMBER($I37)),"◆","")</f>
        <v/>
      </c>
      <c r="CB37" s="57" t="str">
        <f aca="false">IF(AND(CB$7=$I37,ISNUMBER($I37)),"◆","")</f>
        <v/>
      </c>
      <c r="CC37" s="57" t="str">
        <f aca="false">IF(AND(CC$7=$I37,ISNUMBER($I37)),"◆","")</f>
        <v/>
      </c>
      <c r="CD37" s="57" t="str">
        <f aca="false">IF(AND(CD$7=$I37,ISNUMBER($I37)),"◆","")</f>
        <v/>
      </c>
      <c r="CE37" s="57" t="str">
        <f aca="false">IF(AND(CE$7=$I37,ISNUMBER($I37)),"◆","")</f>
        <v/>
      </c>
      <c r="CF37" s="57" t="str">
        <f aca="false">IF(AND(CF$7=$I37,ISNUMBER($I37)),"◆","")</f>
        <v/>
      </c>
      <c r="CG37" s="57" t="str">
        <f aca="false">IF(AND(CG$7=$I37,ISNUMBER($I37)),"◆","")</f>
        <v/>
      </c>
      <c r="CH37" s="57" t="str">
        <f aca="false">IF(AND(CH$7=$I37,ISNUMBER($I37)),"◆","")</f>
        <v/>
      </c>
      <c r="CI37" s="57" t="str">
        <f aca="false">IF(AND(CI$7=$I37,ISNUMBER($I37)),"◆","")</f>
        <v/>
      </c>
      <c r="CJ37" s="57" t="str">
        <f aca="false">IF(AND(CJ$7=$I37,ISNUMBER($I37)),"◆","")</f>
        <v/>
      </c>
      <c r="CK37" s="57" t="str">
        <f aca="false">IF(AND(CK$7=$I37,ISNUMBER($I37)),"◆","")</f>
        <v/>
      </c>
      <c r="CL37" s="57" t="str">
        <f aca="false">IF(AND(CL$7=$I37,ISNUMBER($I37)),"◆","")</f>
        <v/>
      </c>
      <c r="CM37" s="57" t="str">
        <f aca="false">IF(AND(CM$7=$I37,ISNUMBER($I37)),"◆","")</f>
        <v/>
      </c>
      <c r="CN37" s="57" t="str">
        <f aca="false">IF(AND(CN$7=$I37,ISNUMBER($I37)),"◆","")</f>
        <v/>
      </c>
      <c r="CO37" s="57" t="str">
        <f aca="false">IF(AND(CO$7=$I37,ISNUMBER($I37)),"◆","")</f>
        <v/>
      </c>
      <c r="CP37" s="57" t="str">
        <f aca="false">IF(AND(CP$7=$I37,ISNUMBER($I37)),"◆","")</f>
        <v/>
      </c>
      <c r="CQ37" s="57" t="str">
        <f aca="false">IF(AND(CQ$7=$I37,ISNUMBER($I37)),"◆","")</f>
        <v/>
      </c>
      <c r="CR37" s="57" t="str">
        <f aca="false">IF(AND(CR$7=$I37,ISNUMBER($I37)),"◆","")</f>
        <v/>
      </c>
      <c r="CS37" s="57" t="str">
        <f aca="false">IF(AND(CS$7=$I37,ISNUMBER($I37)),"◆","")</f>
        <v/>
      </c>
      <c r="CT37" s="57" t="str">
        <f aca="false">IF(AND(CT$7=$I37,ISNUMBER($I37)),"◆","")</f>
        <v/>
      </c>
      <c r="CU37" s="57" t="str">
        <f aca="false">IF(AND(CU$7=$I37,ISNUMBER($I37)),"◆","")</f>
        <v/>
      </c>
      <c r="CV37" s="57" t="str">
        <f aca="false">IF(AND(CV$7=$I37,ISNUMBER($I37)),"◆","")</f>
        <v/>
      </c>
      <c r="CW37" s="57" t="str">
        <f aca="false">IF(AND(CW$7=$I37,ISNUMBER($I37)),"◆","")</f>
        <v/>
      </c>
      <c r="CX37" s="57" t="str">
        <f aca="false">IF(AND(CX$7=$I37,ISNUMBER($I37)),"◆","")</f>
        <v/>
      </c>
      <c r="CY37" s="57" t="str">
        <f aca="false">IF(AND(CY$7=$I37,ISNUMBER($I37)),"◆","")</f>
        <v/>
      </c>
      <c r="CZ37" s="57" t="str">
        <f aca="false">IF(AND(CZ$7=$I37,ISNUMBER($I37)),"◆","")</f>
        <v/>
      </c>
      <c r="DA37" s="57" t="str">
        <f aca="false">IF(AND(DA$7=$I37,ISNUMBER($I37)),"◆","")</f>
        <v/>
      </c>
      <c r="DB37" s="57" t="str">
        <f aca="false">IF(AND(DB$7=$I37,ISNUMBER($I37)),"◆","")</f>
        <v/>
      </c>
      <c r="DC37" s="57" t="str">
        <f aca="false">IF(AND(DC$7=$I37,ISNUMBER($I37)),"◆","")</f>
        <v/>
      </c>
      <c r="DD37" s="57" t="str">
        <f aca="false">IF(AND(DD$7=$I37,ISNUMBER($I37)),"◆","")</f>
        <v/>
      </c>
      <c r="DE37" s="57" t="str">
        <f aca="false">IF(AND(DE$7=$I37,ISNUMBER($I37)),"◆","")</f>
        <v/>
      </c>
      <c r="DF37" s="57" t="str">
        <f aca="false">IF(AND(DF$7=$I37,ISNUMBER($I37)),"◆","")</f>
        <v/>
      </c>
      <c r="DG37" s="57" t="str">
        <f aca="false">IF(AND(DG$7=$I37,ISNUMBER($I37)),"◆","")</f>
        <v/>
      </c>
      <c r="DH37" s="57" t="str">
        <f aca="false">IF(AND(DH$7=$I37,ISNUMBER($I37)),"◆","")</f>
        <v/>
      </c>
      <c r="DI37" s="57" t="str">
        <f aca="false">IF(AND(DI$7=$I37,ISNUMBER($I37)),"◆","")</f>
        <v/>
      </c>
      <c r="DJ37" s="57" t="str">
        <f aca="false">IF(AND(DJ$7=$I37,ISNUMBER($I37)),"◆","")</f>
        <v/>
      </c>
      <c r="DK37" s="57" t="str">
        <f aca="false">IF(AND(DK$7=$I37,ISNUMBER($I37)),"◆","")</f>
        <v/>
      </c>
      <c r="DL37" s="57" t="str">
        <f aca="false">IF(AND(DL$7=$I37,ISNUMBER($I37)),"◆","")</f>
        <v/>
      </c>
      <c r="DM37" s="57" t="str">
        <f aca="false">IF(AND(DM$7=$I37,ISNUMBER($I37)),"◆","")</f>
        <v/>
      </c>
      <c r="DN37" s="57" t="str">
        <f aca="false">IF(AND(DN$7=$I37,ISNUMBER($I37)),"◆","")</f>
        <v/>
      </c>
      <c r="DO37" s="57" t="str">
        <f aca="false">IF(AND(DO$7=$I37,ISNUMBER($I37)),"◆","")</f>
        <v/>
      </c>
      <c r="DP37" s="57" t="str">
        <f aca="false">IF(AND(DP$7=$I37,ISNUMBER($I37)),"◆","")</f>
        <v/>
      </c>
      <c r="DQ37" s="57" t="str">
        <f aca="false">IF(AND(DQ$7=$I37,ISNUMBER($I37)),"◆","")</f>
        <v/>
      </c>
      <c r="DR37" s="57" t="str">
        <f aca="false">IF(AND(DR$7=$I37,ISNUMBER($I37)),"◆","")</f>
        <v/>
      </c>
      <c r="DS37" s="57" t="str">
        <f aca="false">IF(AND(DS$7=$I37,ISNUMBER($I37)),"◆","")</f>
        <v/>
      </c>
      <c r="DT37" s="57" t="str">
        <f aca="false">IF(AND(DT$7=$I37,ISNUMBER($I37)),"◆","")</f>
        <v/>
      </c>
      <c r="DU37" s="57" t="str">
        <f aca="false">IF(AND(DU$7=$I37,ISNUMBER($I37)),"◆","")</f>
        <v/>
      </c>
      <c r="DV37" s="57" t="str">
        <f aca="false">IF(AND(DV$7=$I37,ISNUMBER($I37)),"◆","")</f>
        <v/>
      </c>
      <c r="DW37" s="57" t="str">
        <f aca="false">IF(AND(DW$7=$I37,ISNUMBER($I37)),"◆","")</f>
        <v/>
      </c>
      <c r="DX37" s="57" t="str">
        <f aca="false">IF(AND(DX$7=$I37,ISNUMBER($I37)),"◆","")</f>
        <v/>
      </c>
      <c r="DY37" s="57" t="str">
        <f aca="false">IF(AND(DY$7=$I37,ISNUMBER($I37)),"◆","")</f>
        <v/>
      </c>
      <c r="DZ37" s="57" t="str">
        <f aca="false">IF(AND(DZ$7=$I37,ISNUMBER($I37)),"◆","")</f>
        <v/>
      </c>
      <c r="EA37" s="57" t="str">
        <f aca="false">IF(AND(EA$7=$I37,ISNUMBER($I37)),"◆","")</f>
        <v/>
      </c>
      <c r="EB37" s="57" t="str">
        <f aca="false">IF(AND(EB$7=$I37,ISNUMBER($I37)),"◆","")</f>
        <v/>
      </c>
      <c r="EC37" s="57" t="str">
        <f aca="false">IF(AND(EC$7=$I37,ISNUMBER($I37)),"◆","")</f>
        <v/>
      </c>
      <c r="ED37" s="57" t="str">
        <f aca="false">IF(AND(ED$7=$I37,ISNUMBER($I37)),"◆","")</f>
        <v/>
      </c>
      <c r="EE37" s="57" t="str">
        <f aca="false">IF(AND(EE$7=$I37,ISNUMBER($I37)),"◆","")</f>
        <v/>
      </c>
      <c r="EF37" s="57" t="str">
        <f aca="false">IF(AND(EF$7=$I37,ISNUMBER($I37)),"◆","")</f>
        <v/>
      </c>
      <c r="EG37" s="57" t="str">
        <f aca="false">IF(AND(EG$7=$I37,ISNUMBER($I37)),"◆","")</f>
        <v/>
      </c>
      <c r="EH37" s="57" t="str">
        <f aca="false">IF(AND(EH$7=$I37,ISNUMBER($I37)),"◆","")</f>
        <v/>
      </c>
      <c r="EI37" s="57" t="str">
        <f aca="false">IF(AND(EI$7=$I37,ISNUMBER($I37)),"◆","")</f>
        <v/>
      </c>
      <c r="EJ37" s="57" t="str">
        <f aca="false">IF(AND(EJ$7=$I37,ISNUMBER($I37)),"◆","")</f>
        <v/>
      </c>
      <c r="EK37" s="57" t="str">
        <f aca="false">IF(AND(EK$7=$I37,ISNUMBER($I37)),"◆","")</f>
        <v/>
      </c>
      <c r="EL37" s="57" t="str">
        <f aca="false">IF(AND(EL$7=$I37,ISNUMBER($I37)),"◆","")</f>
        <v/>
      </c>
      <c r="EM37" s="57" t="str">
        <f aca="false">IF(AND(EM$7=$I37,ISNUMBER($I37)),"◆","")</f>
        <v/>
      </c>
      <c r="EN37" s="57" t="str">
        <f aca="false">IF(AND(EN$7=$I37,ISNUMBER($I37)),"◆","")</f>
        <v/>
      </c>
      <c r="EO37" s="57" t="str">
        <f aca="false">IF(AND(EO$7=$I37,ISNUMBER($I37)),"◆","")</f>
        <v/>
      </c>
      <c r="EP37" s="57" t="str">
        <f aca="false">IF(AND(EP$7=$I37,ISNUMBER($I37)),"◆","")</f>
        <v/>
      </c>
      <c r="EQ37" s="57" t="str">
        <f aca="false">IF(AND(EQ$7=$I37,ISNUMBER($I37)),"◆","")</f>
        <v/>
      </c>
      <c r="ER37" s="57" t="str">
        <f aca="false">IF(AND(ER$7=$I37,ISNUMBER($I37)),"◆","")</f>
        <v/>
      </c>
      <c r="ES37" s="57" t="str">
        <f aca="false">IF(AND(ES$7=$I37,ISNUMBER($I37)),"◆","")</f>
        <v/>
      </c>
      <c r="ET37" s="57" t="str">
        <f aca="false">IF(AND(ET$7=$I37,ISNUMBER($I37)),"◆","")</f>
        <v/>
      </c>
      <c r="EU37" s="57" t="str">
        <f aca="false">IF(AND(EU$7=$I37,ISNUMBER($I37)),"◆","")</f>
        <v/>
      </c>
      <c r="EV37" s="57" t="str">
        <f aca="false">IF(AND(EV$7=$I37,ISNUMBER($I37)),"◆","")</f>
        <v/>
      </c>
      <c r="EW37" s="57" t="str">
        <f aca="false">IF(AND(EW$7=$I37,ISNUMBER($I37)),"◆","")</f>
        <v/>
      </c>
      <c r="EX37" s="57" t="str">
        <f aca="false">IF(AND(EX$7=$I37,ISNUMBER($I37)),"◆","")</f>
        <v/>
      </c>
      <c r="EY37" s="57" t="str">
        <f aca="false">IF(AND(EY$7=$I37,ISNUMBER($I37)),"◆","")</f>
        <v/>
      </c>
      <c r="EZ37" s="57" t="str">
        <f aca="false">IF(AND(EZ$7=$I37,ISNUMBER($I37)),"◆","")</f>
        <v/>
      </c>
      <c r="FA37" s="57" t="str">
        <f aca="false">IF(AND(FA$7=$I37,ISNUMBER($I37)),"◆","")</f>
        <v/>
      </c>
      <c r="FB37" s="57" t="str">
        <f aca="false">IF(AND(FB$7=$I37,ISNUMBER($I37)),"◆","")</f>
        <v/>
      </c>
      <c r="FC37" s="57" t="str">
        <f aca="false">IF(AND(FC$7=$I37,ISNUMBER($I37)),"◆","")</f>
        <v/>
      </c>
      <c r="FD37" s="57" t="str">
        <f aca="false">IF(AND(FD$7=$I37,ISNUMBER($I37)),"◆","")</f>
        <v/>
      </c>
      <c r="FE37" s="57" t="str">
        <f aca="false">IF(AND(FE$7=$I37,ISNUMBER($I37)),"◆","")</f>
        <v/>
      </c>
      <c r="FF37" s="57" t="str">
        <f aca="false">IF(AND(FF$7=$I37,ISNUMBER($I37)),"◆","")</f>
        <v/>
      </c>
      <c r="FG37" s="57" t="str">
        <f aca="false">IF(AND(FG$7=$I37,ISNUMBER($I37)),"◆","")</f>
        <v/>
      </c>
      <c r="FH37" s="57" t="str">
        <f aca="false">IF(AND(FH$7=$I37,ISNUMBER($I37)),"◆","")</f>
        <v/>
      </c>
      <c r="FI37" s="57" t="str">
        <f aca="false">IF(AND(FI$7=$I37,ISNUMBER($I37)),"◆","")</f>
        <v/>
      </c>
      <c r="FJ37" s="57" t="str">
        <f aca="false">IF(AND(FJ$7=$I37,ISNUMBER($I37)),"◆","")</f>
        <v/>
      </c>
      <c r="FK37" s="57" t="str">
        <f aca="false">IF(AND(FK$7=$I37,ISNUMBER($I37)),"◆","")</f>
        <v/>
      </c>
      <c r="FL37" s="57" t="str">
        <f aca="false">IF(AND(FL$7=$I37,ISNUMBER($I37)),"◆","")</f>
        <v/>
      </c>
      <c r="FM37" s="57" t="str">
        <f aca="false">IF(AND(FM$7=$I37,ISNUMBER($I37)),"◆","")</f>
        <v/>
      </c>
      <c r="FN37" s="57" t="str">
        <f aca="false">IF(AND(FN$7=$I37,ISNUMBER($I37)),"◆","")</f>
        <v/>
      </c>
      <c r="FO37" s="57" t="str">
        <f aca="false">IF(AND(FO$7=$I37,ISNUMBER($I37)),"◆","")</f>
        <v/>
      </c>
      <c r="FP37" s="57" t="str">
        <f aca="false">IF(AND(FP$7=$I37,ISNUMBER($I37)),"◆","")</f>
        <v/>
      </c>
      <c r="FQ37" s="57" t="str">
        <f aca="false">IF(AND(FQ$7=$I37,ISNUMBER($I37)),"◆","")</f>
        <v/>
      </c>
      <c r="FR37" s="57" t="str">
        <f aca="false">IF(AND(FR$7=$I37,ISNUMBER($I37)),"◆","")</f>
        <v/>
      </c>
      <c r="FS37" s="57" t="str">
        <f aca="false">IF(AND(FS$7=$I37,ISNUMBER($I37)),"◆","")</f>
        <v/>
      </c>
      <c r="FT37" s="57" t="str">
        <f aca="false">IF(AND(FT$7=$I37,ISNUMBER($I37)),"◆","")</f>
        <v/>
      </c>
      <c r="FU37" s="57" t="str">
        <f aca="false">IF(AND(FU$7=$I37,ISNUMBER($I37)),"◆","")</f>
        <v/>
      </c>
      <c r="FV37" s="57" t="str">
        <f aca="false">IF(AND(FV$7=$I37,ISNUMBER($I37)),"◆","")</f>
        <v/>
      </c>
    </row>
    <row r="38" customFormat="false" ht="25.5" hidden="false" customHeight="true" outlineLevel="0" collapsed="false">
      <c r="A38" s="50" t="str">
        <f aca="false">制作工程表!A31</f>
        <v>T23</v>
      </c>
      <c r="B38" s="51" t="str">
        <f aca="false">制作工程表!B31</f>
        <v>確認</v>
      </c>
      <c r="C38" s="52" t="str">
        <f aca="false">制作工程表!C31</f>
        <v>表示・操作・フォームの確認（制作内）</v>
      </c>
      <c r="D38" s="53" t="str">
        <f aca="false">制作工程表!D31</f>
        <v>実装担当・編集ディレクター</v>
      </c>
      <c r="E38" s="53" t="str">
        <f aca="false">制作工程表!E31</f>
        <v>—</v>
      </c>
      <c r="F38" s="54" t="str">
        <f aca="false">IF(制作工程表!B31="取材撮影","撮影",IF(OR(制作工程表!D31="広報窓口",制作工程表!D31="代表",制作工程表!D31="技術営業課",制作工程表!D31="品質管理課",制作工程表!D31="製造部"),"企業","制作"))</f>
        <v>制作</v>
      </c>
      <c r="G38" s="55" t="n">
        <f aca="false">制作工程表!G31</f>
        <v>46464</v>
      </c>
      <c r="H38" s="55" t="n">
        <f aca="false">制作工程表!H31</f>
        <v>46469</v>
      </c>
      <c r="I38" s="56" t="str">
        <f aca="false">制作工程表!I31</f>
        <v>—</v>
      </c>
      <c r="J38" s="51" t="str">
        <f aca="false">制作工程表!K31</f>
        <v>未着手</v>
      </c>
      <c r="K38" s="57" t="str">
        <f aca="false">IF(AND(K$7=$I38,ISNUMBER($I38)),"◆","")</f>
        <v/>
      </c>
      <c r="L38" s="57" t="str">
        <f aca="false">IF(AND(L$7=$I38,ISNUMBER($I38)),"◆","")</f>
        <v/>
      </c>
      <c r="M38" s="57" t="str">
        <f aca="false">IF(AND(M$7=$I38,ISNUMBER($I38)),"◆","")</f>
        <v/>
      </c>
      <c r="N38" s="57" t="str">
        <f aca="false">IF(AND(N$7=$I38,ISNUMBER($I38)),"◆","")</f>
        <v/>
      </c>
      <c r="O38" s="57" t="str">
        <f aca="false">IF(AND(O$7=$I38,ISNUMBER($I38)),"◆","")</f>
        <v/>
      </c>
      <c r="P38" s="57" t="str">
        <f aca="false">IF(AND(P$7=$I38,ISNUMBER($I38)),"◆","")</f>
        <v/>
      </c>
      <c r="Q38" s="57" t="str">
        <f aca="false">IF(AND(Q$7=$I38,ISNUMBER($I38)),"◆","")</f>
        <v/>
      </c>
      <c r="R38" s="57" t="str">
        <f aca="false">IF(AND(R$7=$I38,ISNUMBER($I38)),"◆","")</f>
        <v/>
      </c>
      <c r="S38" s="57" t="str">
        <f aca="false">IF(AND(S$7=$I38,ISNUMBER($I38)),"◆","")</f>
        <v/>
      </c>
      <c r="T38" s="57" t="str">
        <f aca="false">IF(AND(T$7=$I38,ISNUMBER($I38)),"◆","")</f>
        <v/>
      </c>
      <c r="U38" s="57" t="str">
        <f aca="false">IF(AND(U$7=$I38,ISNUMBER($I38)),"◆","")</f>
        <v/>
      </c>
      <c r="V38" s="57" t="str">
        <f aca="false">IF(AND(V$7=$I38,ISNUMBER($I38)),"◆","")</f>
        <v/>
      </c>
      <c r="W38" s="57" t="str">
        <f aca="false">IF(AND(W$7=$I38,ISNUMBER($I38)),"◆","")</f>
        <v/>
      </c>
      <c r="X38" s="57" t="str">
        <f aca="false">IF(AND(X$7=$I38,ISNUMBER($I38)),"◆","")</f>
        <v/>
      </c>
      <c r="Y38" s="57" t="str">
        <f aca="false">IF(AND(Y$7=$I38,ISNUMBER($I38)),"◆","")</f>
        <v/>
      </c>
      <c r="Z38" s="57" t="str">
        <f aca="false">IF(AND(Z$7=$I38,ISNUMBER($I38)),"◆","")</f>
        <v/>
      </c>
      <c r="AA38" s="57" t="str">
        <f aca="false">IF(AND(AA$7=$I38,ISNUMBER($I38)),"◆","")</f>
        <v/>
      </c>
      <c r="AB38" s="57" t="str">
        <f aca="false">IF(AND(AB$7=$I38,ISNUMBER($I38)),"◆","")</f>
        <v/>
      </c>
      <c r="AC38" s="57" t="str">
        <f aca="false">IF(AND(AC$7=$I38,ISNUMBER($I38)),"◆","")</f>
        <v/>
      </c>
      <c r="AD38" s="57" t="str">
        <f aca="false">IF(AND(AD$7=$I38,ISNUMBER($I38)),"◆","")</f>
        <v/>
      </c>
      <c r="AE38" s="57" t="str">
        <f aca="false">IF(AND(AE$7=$I38,ISNUMBER($I38)),"◆","")</f>
        <v/>
      </c>
      <c r="AF38" s="57" t="str">
        <f aca="false">IF(AND(AF$7=$I38,ISNUMBER($I38)),"◆","")</f>
        <v/>
      </c>
      <c r="AG38" s="57" t="str">
        <f aca="false">IF(AND(AG$7=$I38,ISNUMBER($I38)),"◆","")</f>
        <v/>
      </c>
      <c r="AH38" s="57" t="str">
        <f aca="false">IF(AND(AH$7=$I38,ISNUMBER($I38)),"◆","")</f>
        <v/>
      </c>
      <c r="AI38" s="57" t="str">
        <f aca="false">IF(AND(AI$7=$I38,ISNUMBER($I38)),"◆","")</f>
        <v/>
      </c>
      <c r="AJ38" s="57" t="str">
        <f aca="false">IF(AND(AJ$7=$I38,ISNUMBER($I38)),"◆","")</f>
        <v/>
      </c>
      <c r="AK38" s="57" t="str">
        <f aca="false">IF(AND(AK$7=$I38,ISNUMBER($I38)),"◆","")</f>
        <v/>
      </c>
      <c r="AL38" s="57" t="str">
        <f aca="false">IF(AND(AL$7=$I38,ISNUMBER($I38)),"◆","")</f>
        <v/>
      </c>
      <c r="AM38" s="57" t="str">
        <f aca="false">IF(AND(AM$7=$I38,ISNUMBER($I38)),"◆","")</f>
        <v/>
      </c>
      <c r="AN38" s="57" t="str">
        <f aca="false">IF(AND(AN$7=$I38,ISNUMBER($I38)),"◆","")</f>
        <v/>
      </c>
      <c r="AO38" s="57" t="str">
        <f aca="false">IF(AND(AO$7=$I38,ISNUMBER($I38)),"◆","")</f>
        <v/>
      </c>
      <c r="AP38" s="57" t="str">
        <f aca="false">IF(AND(AP$7=$I38,ISNUMBER($I38)),"◆","")</f>
        <v/>
      </c>
      <c r="AQ38" s="57" t="str">
        <f aca="false">IF(AND(AQ$7=$I38,ISNUMBER($I38)),"◆","")</f>
        <v/>
      </c>
      <c r="AR38" s="57" t="str">
        <f aca="false">IF(AND(AR$7=$I38,ISNUMBER($I38)),"◆","")</f>
        <v/>
      </c>
      <c r="AS38" s="57" t="str">
        <f aca="false">IF(AND(AS$7=$I38,ISNUMBER($I38)),"◆","")</f>
        <v/>
      </c>
      <c r="AT38" s="57" t="str">
        <f aca="false">IF(AND(AT$7=$I38,ISNUMBER($I38)),"◆","")</f>
        <v/>
      </c>
      <c r="AU38" s="57" t="str">
        <f aca="false">IF(AND(AU$7=$I38,ISNUMBER($I38)),"◆","")</f>
        <v/>
      </c>
      <c r="AV38" s="57" t="str">
        <f aca="false">IF(AND(AV$7=$I38,ISNUMBER($I38)),"◆","")</f>
        <v/>
      </c>
      <c r="AW38" s="57" t="str">
        <f aca="false">IF(AND(AW$7=$I38,ISNUMBER($I38)),"◆","")</f>
        <v/>
      </c>
      <c r="AX38" s="57" t="str">
        <f aca="false">IF(AND(AX$7=$I38,ISNUMBER($I38)),"◆","")</f>
        <v/>
      </c>
      <c r="AY38" s="57" t="str">
        <f aca="false">IF(AND(AY$7=$I38,ISNUMBER($I38)),"◆","")</f>
        <v/>
      </c>
      <c r="AZ38" s="57" t="str">
        <f aca="false">IF(AND(AZ$7=$I38,ISNUMBER($I38)),"◆","")</f>
        <v/>
      </c>
      <c r="BA38" s="57" t="str">
        <f aca="false">IF(AND(BA$7=$I38,ISNUMBER($I38)),"◆","")</f>
        <v/>
      </c>
      <c r="BB38" s="57" t="str">
        <f aca="false">IF(AND(BB$7=$I38,ISNUMBER($I38)),"◆","")</f>
        <v/>
      </c>
      <c r="BC38" s="57" t="str">
        <f aca="false">IF(AND(BC$7=$I38,ISNUMBER($I38)),"◆","")</f>
        <v/>
      </c>
      <c r="BD38" s="57" t="str">
        <f aca="false">IF(AND(BD$7=$I38,ISNUMBER($I38)),"◆","")</f>
        <v/>
      </c>
      <c r="BE38" s="57" t="str">
        <f aca="false">IF(AND(BE$7=$I38,ISNUMBER($I38)),"◆","")</f>
        <v/>
      </c>
      <c r="BF38" s="57" t="str">
        <f aca="false">IF(AND(BF$7=$I38,ISNUMBER($I38)),"◆","")</f>
        <v/>
      </c>
      <c r="BG38" s="57" t="str">
        <f aca="false">IF(AND(BG$7=$I38,ISNUMBER($I38)),"◆","")</f>
        <v/>
      </c>
      <c r="BH38" s="57" t="str">
        <f aca="false">IF(AND(BH$7=$I38,ISNUMBER($I38)),"◆","")</f>
        <v/>
      </c>
      <c r="BI38" s="57" t="str">
        <f aca="false">IF(AND(BI$7=$I38,ISNUMBER($I38)),"◆","")</f>
        <v/>
      </c>
      <c r="BJ38" s="57" t="str">
        <f aca="false">IF(AND(BJ$7=$I38,ISNUMBER($I38)),"◆","")</f>
        <v/>
      </c>
      <c r="BK38" s="57" t="str">
        <f aca="false">IF(AND(BK$7=$I38,ISNUMBER($I38)),"◆","")</f>
        <v/>
      </c>
      <c r="BL38" s="57" t="str">
        <f aca="false">IF(AND(BL$7=$I38,ISNUMBER($I38)),"◆","")</f>
        <v/>
      </c>
      <c r="BM38" s="57" t="str">
        <f aca="false">IF(AND(BM$7=$I38,ISNUMBER($I38)),"◆","")</f>
        <v/>
      </c>
      <c r="BN38" s="57" t="str">
        <f aca="false">IF(AND(BN$7=$I38,ISNUMBER($I38)),"◆","")</f>
        <v/>
      </c>
      <c r="BO38" s="57" t="str">
        <f aca="false">IF(AND(BO$7=$I38,ISNUMBER($I38)),"◆","")</f>
        <v/>
      </c>
      <c r="BP38" s="57" t="str">
        <f aca="false">IF(AND(BP$7=$I38,ISNUMBER($I38)),"◆","")</f>
        <v/>
      </c>
      <c r="BQ38" s="57" t="str">
        <f aca="false">IF(AND(BQ$7=$I38,ISNUMBER($I38)),"◆","")</f>
        <v/>
      </c>
      <c r="BR38" s="57" t="str">
        <f aca="false">IF(AND(BR$7=$I38,ISNUMBER($I38)),"◆","")</f>
        <v/>
      </c>
      <c r="BS38" s="57" t="str">
        <f aca="false">IF(AND(BS$7=$I38,ISNUMBER($I38)),"◆","")</f>
        <v/>
      </c>
      <c r="BT38" s="57" t="str">
        <f aca="false">IF(AND(BT$7=$I38,ISNUMBER($I38)),"◆","")</f>
        <v/>
      </c>
      <c r="BU38" s="57" t="str">
        <f aca="false">IF(AND(BU$7=$I38,ISNUMBER($I38)),"◆","")</f>
        <v/>
      </c>
      <c r="BV38" s="57" t="str">
        <f aca="false">IF(AND(BV$7=$I38,ISNUMBER($I38)),"◆","")</f>
        <v/>
      </c>
      <c r="BW38" s="57" t="str">
        <f aca="false">IF(AND(BW$7=$I38,ISNUMBER($I38)),"◆","")</f>
        <v/>
      </c>
      <c r="BX38" s="57" t="str">
        <f aca="false">IF(AND(BX$7=$I38,ISNUMBER($I38)),"◆","")</f>
        <v/>
      </c>
      <c r="BY38" s="57" t="str">
        <f aca="false">IF(AND(BY$7=$I38,ISNUMBER($I38)),"◆","")</f>
        <v/>
      </c>
      <c r="BZ38" s="57" t="str">
        <f aca="false">IF(AND(BZ$7=$I38,ISNUMBER($I38)),"◆","")</f>
        <v/>
      </c>
      <c r="CA38" s="57" t="str">
        <f aca="false">IF(AND(CA$7=$I38,ISNUMBER($I38)),"◆","")</f>
        <v/>
      </c>
      <c r="CB38" s="57" t="str">
        <f aca="false">IF(AND(CB$7=$I38,ISNUMBER($I38)),"◆","")</f>
        <v/>
      </c>
      <c r="CC38" s="57" t="str">
        <f aca="false">IF(AND(CC$7=$I38,ISNUMBER($I38)),"◆","")</f>
        <v/>
      </c>
      <c r="CD38" s="57" t="str">
        <f aca="false">IF(AND(CD$7=$I38,ISNUMBER($I38)),"◆","")</f>
        <v/>
      </c>
      <c r="CE38" s="57" t="str">
        <f aca="false">IF(AND(CE$7=$I38,ISNUMBER($I38)),"◆","")</f>
        <v/>
      </c>
      <c r="CF38" s="57" t="str">
        <f aca="false">IF(AND(CF$7=$I38,ISNUMBER($I38)),"◆","")</f>
        <v/>
      </c>
      <c r="CG38" s="57" t="str">
        <f aca="false">IF(AND(CG$7=$I38,ISNUMBER($I38)),"◆","")</f>
        <v/>
      </c>
      <c r="CH38" s="57" t="str">
        <f aca="false">IF(AND(CH$7=$I38,ISNUMBER($I38)),"◆","")</f>
        <v/>
      </c>
      <c r="CI38" s="57" t="str">
        <f aca="false">IF(AND(CI$7=$I38,ISNUMBER($I38)),"◆","")</f>
        <v/>
      </c>
      <c r="CJ38" s="57" t="str">
        <f aca="false">IF(AND(CJ$7=$I38,ISNUMBER($I38)),"◆","")</f>
        <v/>
      </c>
      <c r="CK38" s="57" t="str">
        <f aca="false">IF(AND(CK$7=$I38,ISNUMBER($I38)),"◆","")</f>
        <v/>
      </c>
      <c r="CL38" s="57" t="str">
        <f aca="false">IF(AND(CL$7=$I38,ISNUMBER($I38)),"◆","")</f>
        <v/>
      </c>
      <c r="CM38" s="57" t="str">
        <f aca="false">IF(AND(CM$7=$I38,ISNUMBER($I38)),"◆","")</f>
        <v/>
      </c>
      <c r="CN38" s="57" t="str">
        <f aca="false">IF(AND(CN$7=$I38,ISNUMBER($I38)),"◆","")</f>
        <v/>
      </c>
      <c r="CO38" s="57" t="str">
        <f aca="false">IF(AND(CO$7=$I38,ISNUMBER($I38)),"◆","")</f>
        <v/>
      </c>
      <c r="CP38" s="57" t="str">
        <f aca="false">IF(AND(CP$7=$I38,ISNUMBER($I38)),"◆","")</f>
        <v/>
      </c>
      <c r="CQ38" s="57" t="str">
        <f aca="false">IF(AND(CQ$7=$I38,ISNUMBER($I38)),"◆","")</f>
        <v/>
      </c>
      <c r="CR38" s="57" t="str">
        <f aca="false">IF(AND(CR$7=$I38,ISNUMBER($I38)),"◆","")</f>
        <v/>
      </c>
      <c r="CS38" s="57" t="str">
        <f aca="false">IF(AND(CS$7=$I38,ISNUMBER($I38)),"◆","")</f>
        <v/>
      </c>
      <c r="CT38" s="57" t="str">
        <f aca="false">IF(AND(CT$7=$I38,ISNUMBER($I38)),"◆","")</f>
        <v/>
      </c>
      <c r="CU38" s="57" t="str">
        <f aca="false">IF(AND(CU$7=$I38,ISNUMBER($I38)),"◆","")</f>
        <v/>
      </c>
      <c r="CV38" s="57" t="str">
        <f aca="false">IF(AND(CV$7=$I38,ISNUMBER($I38)),"◆","")</f>
        <v/>
      </c>
      <c r="CW38" s="57" t="str">
        <f aca="false">IF(AND(CW$7=$I38,ISNUMBER($I38)),"◆","")</f>
        <v/>
      </c>
      <c r="CX38" s="57" t="str">
        <f aca="false">IF(AND(CX$7=$I38,ISNUMBER($I38)),"◆","")</f>
        <v/>
      </c>
      <c r="CY38" s="57" t="str">
        <f aca="false">IF(AND(CY$7=$I38,ISNUMBER($I38)),"◆","")</f>
        <v/>
      </c>
      <c r="CZ38" s="57" t="str">
        <f aca="false">IF(AND(CZ$7=$I38,ISNUMBER($I38)),"◆","")</f>
        <v/>
      </c>
      <c r="DA38" s="57" t="str">
        <f aca="false">IF(AND(DA$7=$I38,ISNUMBER($I38)),"◆","")</f>
        <v/>
      </c>
      <c r="DB38" s="57" t="str">
        <f aca="false">IF(AND(DB$7=$I38,ISNUMBER($I38)),"◆","")</f>
        <v/>
      </c>
      <c r="DC38" s="57" t="str">
        <f aca="false">IF(AND(DC$7=$I38,ISNUMBER($I38)),"◆","")</f>
        <v/>
      </c>
      <c r="DD38" s="57" t="str">
        <f aca="false">IF(AND(DD$7=$I38,ISNUMBER($I38)),"◆","")</f>
        <v/>
      </c>
      <c r="DE38" s="57" t="str">
        <f aca="false">IF(AND(DE$7=$I38,ISNUMBER($I38)),"◆","")</f>
        <v/>
      </c>
      <c r="DF38" s="57" t="str">
        <f aca="false">IF(AND(DF$7=$I38,ISNUMBER($I38)),"◆","")</f>
        <v/>
      </c>
      <c r="DG38" s="57" t="str">
        <f aca="false">IF(AND(DG$7=$I38,ISNUMBER($I38)),"◆","")</f>
        <v/>
      </c>
      <c r="DH38" s="57" t="str">
        <f aca="false">IF(AND(DH$7=$I38,ISNUMBER($I38)),"◆","")</f>
        <v/>
      </c>
      <c r="DI38" s="57" t="str">
        <f aca="false">IF(AND(DI$7=$I38,ISNUMBER($I38)),"◆","")</f>
        <v/>
      </c>
      <c r="DJ38" s="57" t="str">
        <f aca="false">IF(AND(DJ$7=$I38,ISNUMBER($I38)),"◆","")</f>
        <v/>
      </c>
      <c r="DK38" s="57" t="str">
        <f aca="false">IF(AND(DK$7=$I38,ISNUMBER($I38)),"◆","")</f>
        <v/>
      </c>
      <c r="DL38" s="57" t="str">
        <f aca="false">IF(AND(DL$7=$I38,ISNUMBER($I38)),"◆","")</f>
        <v/>
      </c>
      <c r="DM38" s="57" t="str">
        <f aca="false">IF(AND(DM$7=$I38,ISNUMBER($I38)),"◆","")</f>
        <v/>
      </c>
      <c r="DN38" s="57" t="str">
        <f aca="false">IF(AND(DN$7=$I38,ISNUMBER($I38)),"◆","")</f>
        <v/>
      </c>
      <c r="DO38" s="57" t="str">
        <f aca="false">IF(AND(DO$7=$I38,ISNUMBER($I38)),"◆","")</f>
        <v/>
      </c>
      <c r="DP38" s="57" t="str">
        <f aca="false">IF(AND(DP$7=$I38,ISNUMBER($I38)),"◆","")</f>
        <v/>
      </c>
      <c r="DQ38" s="57" t="str">
        <f aca="false">IF(AND(DQ$7=$I38,ISNUMBER($I38)),"◆","")</f>
        <v/>
      </c>
      <c r="DR38" s="57" t="str">
        <f aca="false">IF(AND(DR$7=$I38,ISNUMBER($I38)),"◆","")</f>
        <v/>
      </c>
      <c r="DS38" s="57" t="str">
        <f aca="false">IF(AND(DS$7=$I38,ISNUMBER($I38)),"◆","")</f>
        <v/>
      </c>
      <c r="DT38" s="57" t="str">
        <f aca="false">IF(AND(DT$7=$I38,ISNUMBER($I38)),"◆","")</f>
        <v/>
      </c>
      <c r="DU38" s="57" t="str">
        <f aca="false">IF(AND(DU$7=$I38,ISNUMBER($I38)),"◆","")</f>
        <v/>
      </c>
      <c r="DV38" s="57" t="str">
        <f aca="false">IF(AND(DV$7=$I38,ISNUMBER($I38)),"◆","")</f>
        <v/>
      </c>
      <c r="DW38" s="57" t="str">
        <f aca="false">IF(AND(DW$7=$I38,ISNUMBER($I38)),"◆","")</f>
        <v/>
      </c>
      <c r="DX38" s="57" t="str">
        <f aca="false">IF(AND(DX$7=$I38,ISNUMBER($I38)),"◆","")</f>
        <v/>
      </c>
      <c r="DY38" s="57" t="str">
        <f aca="false">IF(AND(DY$7=$I38,ISNUMBER($I38)),"◆","")</f>
        <v/>
      </c>
      <c r="DZ38" s="57" t="str">
        <f aca="false">IF(AND(DZ$7=$I38,ISNUMBER($I38)),"◆","")</f>
        <v/>
      </c>
      <c r="EA38" s="57" t="str">
        <f aca="false">IF(AND(EA$7=$I38,ISNUMBER($I38)),"◆","")</f>
        <v/>
      </c>
      <c r="EB38" s="57" t="str">
        <f aca="false">IF(AND(EB$7=$I38,ISNUMBER($I38)),"◆","")</f>
        <v/>
      </c>
      <c r="EC38" s="57" t="str">
        <f aca="false">IF(AND(EC$7=$I38,ISNUMBER($I38)),"◆","")</f>
        <v/>
      </c>
      <c r="ED38" s="57" t="str">
        <f aca="false">IF(AND(ED$7=$I38,ISNUMBER($I38)),"◆","")</f>
        <v/>
      </c>
      <c r="EE38" s="57" t="str">
        <f aca="false">IF(AND(EE$7=$I38,ISNUMBER($I38)),"◆","")</f>
        <v/>
      </c>
      <c r="EF38" s="57" t="str">
        <f aca="false">IF(AND(EF$7=$I38,ISNUMBER($I38)),"◆","")</f>
        <v/>
      </c>
      <c r="EG38" s="57" t="str">
        <f aca="false">IF(AND(EG$7=$I38,ISNUMBER($I38)),"◆","")</f>
        <v/>
      </c>
      <c r="EH38" s="57" t="str">
        <f aca="false">IF(AND(EH$7=$I38,ISNUMBER($I38)),"◆","")</f>
        <v/>
      </c>
      <c r="EI38" s="57" t="str">
        <f aca="false">IF(AND(EI$7=$I38,ISNUMBER($I38)),"◆","")</f>
        <v/>
      </c>
      <c r="EJ38" s="57" t="str">
        <f aca="false">IF(AND(EJ$7=$I38,ISNUMBER($I38)),"◆","")</f>
        <v/>
      </c>
      <c r="EK38" s="57" t="str">
        <f aca="false">IF(AND(EK$7=$I38,ISNUMBER($I38)),"◆","")</f>
        <v/>
      </c>
      <c r="EL38" s="57" t="str">
        <f aca="false">IF(AND(EL$7=$I38,ISNUMBER($I38)),"◆","")</f>
        <v/>
      </c>
      <c r="EM38" s="57" t="str">
        <f aca="false">IF(AND(EM$7=$I38,ISNUMBER($I38)),"◆","")</f>
        <v/>
      </c>
      <c r="EN38" s="57" t="str">
        <f aca="false">IF(AND(EN$7=$I38,ISNUMBER($I38)),"◆","")</f>
        <v/>
      </c>
      <c r="EO38" s="57" t="str">
        <f aca="false">IF(AND(EO$7=$I38,ISNUMBER($I38)),"◆","")</f>
        <v/>
      </c>
      <c r="EP38" s="57" t="str">
        <f aca="false">IF(AND(EP$7=$I38,ISNUMBER($I38)),"◆","")</f>
        <v/>
      </c>
      <c r="EQ38" s="57" t="str">
        <f aca="false">IF(AND(EQ$7=$I38,ISNUMBER($I38)),"◆","")</f>
        <v/>
      </c>
      <c r="ER38" s="57" t="str">
        <f aca="false">IF(AND(ER$7=$I38,ISNUMBER($I38)),"◆","")</f>
        <v/>
      </c>
      <c r="ES38" s="57" t="str">
        <f aca="false">IF(AND(ES$7=$I38,ISNUMBER($I38)),"◆","")</f>
        <v/>
      </c>
      <c r="ET38" s="57" t="str">
        <f aca="false">IF(AND(ET$7=$I38,ISNUMBER($I38)),"◆","")</f>
        <v/>
      </c>
      <c r="EU38" s="57" t="str">
        <f aca="false">IF(AND(EU$7=$I38,ISNUMBER($I38)),"◆","")</f>
        <v/>
      </c>
      <c r="EV38" s="57" t="str">
        <f aca="false">IF(AND(EV$7=$I38,ISNUMBER($I38)),"◆","")</f>
        <v/>
      </c>
      <c r="EW38" s="57" t="str">
        <f aca="false">IF(AND(EW$7=$I38,ISNUMBER($I38)),"◆","")</f>
        <v/>
      </c>
      <c r="EX38" s="57" t="str">
        <f aca="false">IF(AND(EX$7=$I38,ISNUMBER($I38)),"◆","")</f>
        <v/>
      </c>
      <c r="EY38" s="57" t="str">
        <f aca="false">IF(AND(EY$7=$I38,ISNUMBER($I38)),"◆","")</f>
        <v/>
      </c>
      <c r="EZ38" s="57" t="str">
        <f aca="false">IF(AND(EZ$7=$I38,ISNUMBER($I38)),"◆","")</f>
        <v/>
      </c>
      <c r="FA38" s="57" t="str">
        <f aca="false">IF(AND(FA$7=$I38,ISNUMBER($I38)),"◆","")</f>
        <v/>
      </c>
      <c r="FB38" s="57" t="str">
        <f aca="false">IF(AND(FB$7=$I38,ISNUMBER($I38)),"◆","")</f>
        <v/>
      </c>
      <c r="FC38" s="57" t="str">
        <f aca="false">IF(AND(FC$7=$I38,ISNUMBER($I38)),"◆","")</f>
        <v/>
      </c>
      <c r="FD38" s="57" t="str">
        <f aca="false">IF(AND(FD$7=$I38,ISNUMBER($I38)),"◆","")</f>
        <v/>
      </c>
      <c r="FE38" s="57" t="str">
        <f aca="false">IF(AND(FE$7=$I38,ISNUMBER($I38)),"◆","")</f>
        <v/>
      </c>
      <c r="FF38" s="57" t="str">
        <f aca="false">IF(AND(FF$7=$I38,ISNUMBER($I38)),"◆","")</f>
        <v/>
      </c>
      <c r="FG38" s="57" t="str">
        <f aca="false">IF(AND(FG$7=$I38,ISNUMBER($I38)),"◆","")</f>
        <v/>
      </c>
      <c r="FH38" s="57" t="str">
        <f aca="false">IF(AND(FH$7=$I38,ISNUMBER($I38)),"◆","")</f>
        <v/>
      </c>
      <c r="FI38" s="57" t="str">
        <f aca="false">IF(AND(FI$7=$I38,ISNUMBER($I38)),"◆","")</f>
        <v/>
      </c>
      <c r="FJ38" s="57" t="str">
        <f aca="false">IF(AND(FJ$7=$I38,ISNUMBER($I38)),"◆","")</f>
        <v/>
      </c>
      <c r="FK38" s="57" t="str">
        <f aca="false">IF(AND(FK$7=$I38,ISNUMBER($I38)),"◆","")</f>
        <v/>
      </c>
      <c r="FL38" s="57" t="str">
        <f aca="false">IF(AND(FL$7=$I38,ISNUMBER($I38)),"◆","")</f>
        <v/>
      </c>
      <c r="FM38" s="57" t="str">
        <f aca="false">IF(AND(FM$7=$I38,ISNUMBER($I38)),"◆","")</f>
        <v/>
      </c>
      <c r="FN38" s="57" t="str">
        <f aca="false">IF(AND(FN$7=$I38,ISNUMBER($I38)),"◆","")</f>
        <v/>
      </c>
      <c r="FO38" s="57" t="str">
        <f aca="false">IF(AND(FO$7=$I38,ISNUMBER($I38)),"◆","")</f>
        <v/>
      </c>
      <c r="FP38" s="57" t="str">
        <f aca="false">IF(AND(FP$7=$I38,ISNUMBER($I38)),"◆","")</f>
        <v/>
      </c>
      <c r="FQ38" s="57" t="str">
        <f aca="false">IF(AND(FQ$7=$I38,ISNUMBER($I38)),"◆","")</f>
        <v/>
      </c>
      <c r="FR38" s="57" t="str">
        <f aca="false">IF(AND(FR$7=$I38,ISNUMBER($I38)),"◆","")</f>
        <v/>
      </c>
      <c r="FS38" s="57" t="str">
        <f aca="false">IF(AND(FS$7=$I38,ISNUMBER($I38)),"◆","")</f>
        <v/>
      </c>
      <c r="FT38" s="57" t="str">
        <f aca="false">IF(AND(FT$7=$I38,ISNUMBER($I38)),"◆","")</f>
        <v/>
      </c>
      <c r="FU38" s="57" t="str">
        <f aca="false">IF(AND(FU$7=$I38,ISNUMBER($I38)),"◆","")</f>
        <v/>
      </c>
      <c r="FV38" s="57" t="str">
        <f aca="false">IF(AND(FV$7=$I38,ISNUMBER($I38)),"◆","")</f>
        <v/>
      </c>
    </row>
    <row r="39" customFormat="false" ht="25.5" hidden="false" customHeight="true" outlineLevel="0" collapsed="false">
      <c r="A39" s="50" t="str">
        <f aca="false">制作工程表!A32</f>
        <v>T24</v>
      </c>
      <c r="B39" s="51" t="str">
        <f aca="false">制作工程表!B32</f>
        <v>公開前確認</v>
      </c>
      <c r="C39" s="52" t="str">
        <f aca="false">制作工程表!C32</f>
        <v>公開前の最終確認・公開承認</v>
      </c>
      <c r="D39" s="53" t="str">
        <f aca="false">制作工程表!D32</f>
        <v>広報窓口</v>
      </c>
      <c r="E39" s="53" t="str">
        <f aca="false">制作工程表!E32</f>
        <v>代表・技術営業課</v>
      </c>
      <c r="F39" s="54" t="str">
        <f aca="false">IF(制作工程表!B32="取材撮影","撮影",IF(OR(制作工程表!D32="広報窓口",制作工程表!D32="代表",制作工程表!D32="技術営業課",制作工程表!D32="品質管理課",制作工程表!D32="製造部"),"企業","制作"))</f>
        <v>企業</v>
      </c>
      <c r="G39" s="55" t="n">
        <f aca="false">制作工程表!G32</f>
        <v>46470</v>
      </c>
      <c r="H39" s="55" t="n">
        <f aca="false">制作工程表!H32</f>
        <v>46478</v>
      </c>
      <c r="I39" s="56" t="n">
        <f aca="false">制作工程表!I32</f>
        <v>46478</v>
      </c>
      <c r="J39" s="51" t="str">
        <f aca="false">制作工程表!K32</f>
        <v>未着手</v>
      </c>
      <c r="K39" s="57" t="str">
        <f aca="false">IF(AND(K$7=$I39,ISNUMBER($I39)),"◆","")</f>
        <v/>
      </c>
      <c r="L39" s="57" t="str">
        <f aca="false">IF(AND(L$7=$I39,ISNUMBER($I39)),"◆","")</f>
        <v/>
      </c>
      <c r="M39" s="57" t="str">
        <f aca="false">IF(AND(M$7=$I39,ISNUMBER($I39)),"◆","")</f>
        <v/>
      </c>
      <c r="N39" s="57" t="str">
        <f aca="false">IF(AND(N$7=$I39,ISNUMBER($I39)),"◆","")</f>
        <v/>
      </c>
      <c r="O39" s="57" t="str">
        <f aca="false">IF(AND(O$7=$I39,ISNUMBER($I39)),"◆","")</f>
        <v/>
      </c>
      <c r="P39" s="57" t="str">
        <f aca="false">IF(AND(P$7=$I39,ISNUMBER($I39)),"◆","")</f>
        <v/>
      </c>
      <c r="Q39" s="57" t="str">
        <f aca="false">IF(AND(Q$7=$I39,ISNUMBER($I39)),"◆","")</f>
        <v/>
      </c>
      <c r="R39" s="57" t="str">
        <f aca="false">IF(AND(R$7=$I39,ISNUMBER($I39)),"◆","")</f>
        <v/>
      </c>
      <c r="S39" s="57" t="str">
        <f aca="false">IF(AND(S$7=$I39,ISNUMBER($I39)),"◆","")</f>
        <v/>
      </c>
      <c r="T39" s="57" t="str">
        <f aca="false">IF(AND(T$7=$I39,ISNUMBER($I39)),"◆","")</f>
        <v/>
      </c>
      <c r="U39" s="57" t="str">
        <f aca="false">IF(AND(U$7=$I39,ISNUMBER($I39)),"◆","")</f>
        <v/>
      </c>
      <c r="V39" s="57" t="str">
        <f aca="false">IF(AND(V$7=$I39,ISNUMBER($I39)),"◆","")</f>
        <v/>
      </c>
      <c r="W39" s="57" t="str">
        <f aca="false">IF(AND(W$7=$I39,ISNUMBER($I39)),"◆","")</f>
        <v/>
      </c>
      <c r="X39" s="57" t="str">
        <f aca="false">IF(AND(X$7=$I39,ISNUMBER($I39)),"◆","")</f>
        <v/>
      </c>
      <c r="Y39" s="57" t="str">
        <f aca="false">IF(AND(Y$7=$I39,ISNUMBER($I39)),"◆","")</f>
        <v/>
      </c>
      <c r="Z39" s="57" t="str">
        <f aca="false">IF(AND(Z$7=$I39,ISNUMBER($I39)),"◆","")</f>
        <v/>
      </c>
      <c r="AA39" s="57" t="str">
        <f aca="false">IF(AND(AA$7=$I39,ISNUMBER($I39)),"◆","")</f>
        <v/>
      </c>
      <c r="AB39" s="57" t="str">
        <f aca="false">IF(AND(AB$7=$I39,ISNUMBER($I39)),"◆","")</f>
        <v/>
      </c>
      <c r="AC39" s="57" t="str">
        <f aca="false">IF(AND(AC$7=$I39,ISNUMBER($I39)),"◆","")</f>
        <v/>
      </c>
      <c r="AD39" s="57" t="str">
        <f aca="false">IF(AND(AD$7=$I39,ISNUMBER($I39)),"◆","")</f>
        <v/>
      </c>
      <c r="AE39" s="57" t="str">
        <f aca="false">IF(AND(AE$7=$I39,ISNUMBER($I39)),"◆","")</f>
        <v/>
      </c>
      <c r="AF39" s="57" t="str">
        <f aca="false">IF(AND(AF$7=$I39,ISNUMBER($I39)),"◆","")</f>
        <v/>
      </c>
      <c r="AG39" s="57" t="str">
        <f aca="false">IF(AND(AG$7=$I39,ISNUMBER($I39)),"◆","")</f>
        <v/>
      </c>
      <c r="AH39" s="57" t="str">
        <f aca="false">IF(AND(AH$7=$I39,ISNUMBER($I39)),"◆","")</f>
        <v/>
      </c>
      <c r="AI39" s="57" t="str">
        <f aca="false">IF(AND(AI$7=$I39,ISNUMBER($I39)),"◆","")</f>
        <v/>
      </c>
      <c r="AJ39" s="57" t="str">
        <f aca="false">IF(AND(AJ$7=$I39,ISNUMBER($I39)),"◆","")</f>
        <v/>
      </c>
      <c r="AK39" s="57" t="str">
        <f aca="false">IF(AND(AK$7=$I39,ISNUMBER($I39)),"◆","")</f>
        <v/>
      </c>
      <c r="AL39" s="57" t="str">
        <f aca="false">IF(AND(AL$7=$I39,ISNUMBER($I39)),"◆","")</f>
        <v/>
      </c>
      <c r="AM39" s="57" t="str">
        <f aca="false">IF(AND(AM$7=$I39,ISNUMBER($I39)),"◆","")</f>
        <v/>
      </c>
      <c r="AN39" s="57" t="str">
        <f aca="false">IF(AND(AN$7=$I39,ISNUMBER($I39)),"◆","")</f>
        <v/>
      </c>
      <c r="AO39" s="57" t="str">
        <f aca="false">IF(AND(AO$7=$I39,ISNUMBER($I39)),"◆","")</f>
        <v/>
      </c>
      <c r="AP39" s="57" t="str">
        <f aca="false">IF(AND(AP$7=$I39,ISNUMBER($I39)),"◆","")</f>
        <v/>
      </c>
      <c r="AQ39" s="57" t="str">
        <f aca="false">IF(AND(AQ$7=$I39,ISNUMBER($I39)),"◆","")</f>
        <v/>
      </c>
      <c r="AR39" s="57" t="str">
        <f aca="false">IF(AND(AR$7=$I39,ISNUMBER($I39)),"◆","")</f>
        <v/>
      </c>
      <c r="AS39" s="57" t="str">
        <f aca="false">IF(AND(AS$7=$I39,ISNUMBER($I39)),"◆","")</f>
        <v/>
      </c>
      <c r="AT39" s="57" t="str">
        <f aca="false">IF(AND(AT$7=$I39,ISNUMBER($I39)),"◆","")</f>
        <v/>
      </c>
      <c r="AU39" s="57" t="str">
        <f aca="false">IF(AND(AU$7=$I39,ISNUMBER($I39)),"◆","")</f>
        <v/>
      </c>
      <c r="AV39" s="57" t="str">
        <f aca="false">IF(AND(AV$7=$I39,ISNUMBER($I39)),"◆","")</f>
        <v/>
      </c>
      <c r="AW39" s="57" t="str">
        <f aca="false">IF(AND(AW$7=$I39,ISNUMBER($I39)),"◆","")</f>
        <v/>
      </c>
      <c r="AX39" s="57" t="str">
        <f aca="false">IF(AND(AX$7=$I39,ISNUMBER($I39)),"◆","")</f>
        <v/>
      </c>
      <c r="AY39" s="57" t="str">
        <f aca="false">IF(AND(AY$7=$I39,ISNUMBER($I39)),"◆","")</f>
        <v/>
      </c>
      <c r="AZ39" s="57" t="str">
        <f aca="false">IF(AND(AZ$7=$I39,ISNUMBER($I39)),"◆","")</f>
        <v/>
      </c>
      <c r="BA39" s="57" t="str">
        <f aca="false">IF(AND(BA$7=$I39,ISNUMBER($I39)),"◆","")</f>
        <v/>
      </c>
      <c r="BB39" s="57" t="str">
        <f aca="false">IF(AND(BB$7=$I39,ISNUMBER($I39)),"◆","")</f>
        <v/>
      </c>
      <c r="BC39" s="57" t="str">
        <f aca="false">IF(AND(BC$7=$I39,ISNUMBER($I39)),"◆","")</f>
        <v/>
      </c>
      <c r="BD39" s="57" t="str">
        <f aca="false">IF(AND(BD$7=$I39,ISNUMBER($I39)),"◆","")</f>
        <v/>
      </c>
      <c r="BE39" s="57" t="str">
        <f aca="false">IF(AND(BE$7=$I39,ISNUMBER($I39)),"◆","")</f>
        <v/>
      </c>
      <c r="BF39" s="57" t="str">
        <f aca="false">IF(AND(BF$7=$I39,ISNUMBER($I39)),"◆","")</f>
        <v/>
      </c>
      <c r="BG39" s="57" t="str">
        <f aca="false">IF(AND(BG$7=$I39,ISNUMBER($I39)),"◆","")</f>
        <v/>
      </c>
      <c r="BH39" s="57" t="str">
        <f aca="false">IF(AND(BH$7=$I39,ISNUMBER($I39)),"◆","")</f>
        <v/>
      </c>
      <c r="BI39" s="57" t="str">
        <f aca="false">IF(AND(BI$7=$I39,ISNUMBER($I39)),"◆","")</f>
        <v/>
      </c>
      <c r="BJ39" s="57" t="str">
        <f aca="false">IF(AND(BJ$7=$I39,ISNUMBER($I39)),"◆","")</f>
        <v/>
      </c>
      <c r="BK39" s="57" t="str">
        <f aca="false">IF(AND(BK$7=$I39,ISNUMBER($I39)),"◆","")</f>
        <v/>
      </c>
      <c r="BL39" s="57" t="str">
        <f aca="false">IF(AND(BL$7=$I39,ISNUMBER($I39)),"◆","")</f>
        <v/>
      </c>
      <c r="BM39" s="57" t="str">
        <f aca="false">IF(AND(BM$7=$I39,ISNUMBER($I39)),"◆","")</f>
        <v/>
      </c>
      <c r="BN39" s="57" t="str">
        <f aca="false">IF(AND(BN$7=$I39,ISNUMBER($I39)),"◆","")</f>
        <v/>
      </c>
      <c r="BO39" s="57" t="str">
        <f aca="false">IF(AND(BO$7=$I39,ISNUMBER($I39)),"◆","")</f>
        <v/>
      </c>
      <c r="BP39" s="57" t="str">
        <f aca="false">IF(AND(BP$7=$I39,ISNUMBER($I39)),"◆","")</f>
        <v/>
      </c>
      <c r="BQ39" s="57" t="str">
        <f aca="false">IF(AND(BQ$7=$I39,ISNUMBER($I39)),"◆","")</f>
        <v/>
      </c>
      <c r="BR39" s="57" t="str">
        <f aca="false">IF(AND(BR$7=$I39,ISNUMBER($I39)),"◆","")</f>
        <v/>
      </c>
      <c r="BS39" s="57" t="str">
        <f aca="false">IF(AND(BS$7=$I39,ISNUMBER($I39)),"◆","")</f>
        <v/>
      </c>
      <c r="BT39" s="57" t="str">
        <f aca="false">IF(AND(BT$7=$I39,ISNUMBER($I39)),"◆","")</f>
        <v/>
      </c>
      <c r="BU39" s="57" t="str">
        <f aca="false">IF(AND(BU$7=$I39,ISNUMBER($I39)),"◆","")</f>
        <v/>
      </c>
      <c r="BV39" s="57" t="str">
        <f aca="false">IF(AND(BV$7=$I39,ISNUMBER($I39)),"◆","")</f>
        <v/>
      </c>
      <c r="BW39" s="57" t="str">
        <f aca="false">IF(AND(BW$7=$I39,ISNUMBER($I39)),"◆","")</f>
        <v/>
      </c>
      <c r="BX39" s="57" t="str">
        <f aca="false">IF(AND(BX$7=$I39,ISNUMBER($I39)),"◆","")</f>
        <v/>
      </c>
      <c r="BY39" s="57" t="str">
        <f aca="false">IF(AND(BY$7=$I39,ISNUMBER($I39)),"◆","")</f>
        <v/>
      </c>
      <c r="BZ39" s="57" t="str">
        <f aca="false">IF(AND(BZ$7=$I39,ISNUMBER($I39)),"◆","")</f>
        <v/>
      </c>
      <c r="CA39" s="57" t="str">
        <f aca="false">IF(AND(CA$7=$I39,ISNUMBER($I39)),"◆","")</f>
        <v/>
      </c>
      <c r="CB39" s="57" t="str">
        <f aca="false">IF(AND(CB$7=$I39,ISNUMBER($I39)),"◆","")</f>
        <v/>
      </c>
      <c r="CC39" s="57" t="str">
        <f aca="false">IF(AND(CC$7=$I39,ISNUMBER($I39)),"◆","")</f>
        <v/>
      </c>
      <c r="CD39" s="57" t="str">
        <f aca="false">IF(AND(CD$7=$I39,ISNUMBER($I39)),"◆","")</f>
        <v/>
      </c>
      <c r="CE39" s="57" t="str">
        <f aca="false">IF(AND(CE$7=$I39,ISNUMBER($I39)),"◆","")</f>
        <v/>
      </c>
      <c r="CF39" s="57" t="str">
        <f aca="false">IF(AND(CF$7=$I39,ISNUMBER($I39)),"◆","")</f>
        <v/>
      </c>
      <c r="CG39" s="57" t="str">
        <f aca="false">IF(AND(CG$7=$I39,ISNUMBER($I39)),"◆","")</f>
        <v/>
      </c>
      <c r="CH39" s="57" t="str">
        <f aca="false">IF(AND(CH$7=$I39,ISNUMBER($I39)),"◆","")</f>
        <v/>
      </c>
      <c r="CI39" s="57" t="str">
        <f aca="false">IF(AND(CI$7=$I39,ISNUMBER($I39)),"◆","")</f>
        <v/>
      </c>
      <c r="CJ39" s="57" t="str">
        <f aca="false">IF(AND(CJ$7=$I39,ISNUMBER($I39)),"◆","")</f>
        <v/>
      </c>
      <c r="CK39" s="57" t="str">
        <f aca="false">IF(AND(CK$7=$I39,ISNUMBER($I39)),"◆","")</f>
        <v/>
      </c>
      <c r="CL39" s="57" t="str">
        <f aca="false">IF(AND(CL$7=$I39,ISNUMBER($I39)),"◆","")</f>
        <v/>
      </c>
      <c r="CM39" s="57" t="str">
        <f aca="false">IF(AND(CM$7=$I39,ISNUMBER($I39)),"◆","")</f>
        <v/>
      </c>
      <c r="CN39" s="57" t="str">
        <f aca="false">IF(AND(CN$7=$I39,ISNUMBER($I39)),"◆","")</f>
        <v/>
      </c>
      <c r="CO39" s="57" t="str">
        <f aca="false">IF(AND(CO$7=$I39,ISNUMBER($I39)),"◆","")</f>
        <v/>
      </c>
      <c r="CP39" s="57" t="str">
        <f aca="false">IF(AND(CP$7=$I39,ISNUMBER($I39)),"◆","")</f>
        <v/>
      </c>
      <c r="CQ39" s="57" t="str">
        <f aca="false">IF(AND(CQ$7=$I39,ISNUMBER($I39)),"◆","")</f>
        <v/>
      </c>
      <c r="CR39" s="57" t="str">
        <f aca="false">IF(AND(CR$7=$I39,ISNUMBER($I39)),"◆","")</f>
        <v/>
      </c>
      <c r="CS39" s="57" t="str">
        <f aca="false">IF(AND(CS$7=$I39,ISNUMBER($I39)),"◆","")</f>
        <v/>
      </c>
      <c r="CT39" s="57" t="str">
        <f aca="false">IF(AND(CT$7=$I39,ISNUMBER($I39)),"◆","")</f>
        <v/>
      </c>
      <c r="CU39" s="57" t="str">
        <f aca="false">IF(AND(CU$7=$I39,ISNUMBER($I39)),"◆","")</f>
        <v/>
      </c>
      <c r="CV39" s="57" t="str">
        <f aca="false">IF(AND(CV$7=$I39,ISNUMBER($I39)),"◆","")</f>
        <v/>
      </c>
      <c r="CW39" s="57" t="str">
        <f aca="false">IF(AND(CW$7=$I39,ISNUMBER($I39)),"◆","")</f>
        <v/>
      </c>
      <c r="CX39" s="57" t="str">
        <f aca="false">IF(AND(CX$7=$I39,ISNUMBER($I39)),"◆","")</f>
        <v/>
      </c>
      <c r="CY39" s="57" t="str">
        <f aca="false">IF(AND(CY$7=$I39,ISNUMBER($I39)),"◆","")</f>
        <v/>
      </c>
      <c r="CZ39" s="57" t="str">
        <f aca="false">IF(AND(CZ$7=$I39,ISNUMBER($I39)),"◆","")</f>
        <v/>
      </c>
      <c r="DA39" s="57" t="str">
        <f aca="false">IF(AND(DA$7=$I39,ISNUMBER($I39)),"◆","")</f>
        <v/>
      </c>
      <c r="DB39" s="57" t="str">
        <f aca="false">IF(AND(DB$7=$I39,ISNUMBER($I39)),"◆","")</f>
        <v/>
      </c>
      <c r="DC39" s="57" t="str">
        <f aca="false">IF(AND(DC$7=$I39,ISNUMBER($I39)),"◆","")</f>
        <v/>
      </c>
      <c r="DD39" s="57" t="str">
        <f aca="false">IF(AND(DD$7=$I39,ISNUMBER($I39)),"◆","")</f>
        <v/>
      </c>
      <c r="DE39" s="57" t="str">
        <f aca="false">IF(AND(DE$7=$I39,ISNUMBER($I39)),"◆","")</f>
        <v/>
      </c>
      <c r="DF39" s="57" t="str">
        <f aca="false">IF(AND(DF$7=$I39,ISNUMBER($I39)),"◆","")</f>
        <v/>
      </c>
      <c r="DG39" s="57" t="str">
        <f aca="false">IF(AND(DG$7=$I39,ISNUMBER($I39)),"◆","")</f>
        <v/>
      </c>
      <c r="DH39" s="57" t="str">
        <f aca="false">IF(AND(DH$7=$I39,ISNUMBER($I39)),"◆","")</f>
        <v/>
      </c>
      <c r="DI39" s="57" t="str">
        <f aca="false">IF(AND(DI$7=$I39,ISNUMBER($I39)),"◆","")</f>
        <v/>
      </c>
      <c r="DJ39" s="57" t="str">
        <f aca="false">IF(AND(DJ$7=$I39,ISNUMBER($I39)),"◆","")</f>
        <v/>
      </c>
      <c r="DK39" s="57" t="str">
        <f aca="false">IF(AND(DK$7=$I39,ISNUMBER($I39)),"◆","")</f>
        <v/>
      </c>
      <c r="DL39" s="57" t="str">
        <f aca="false">IF(AND(DL$7=$I39,ISNUMBER($I39)),"◆","")</f>
        <v/>
      </c>
      <c r="DM39" s="57" t="str">
        <f aca="false">IF(AND(DM$7=$I39,ISNUMBER($I39)),"◆","")</f>
        <v/>
      </c>
      <c r="DN39" s="57" t="str">
        <f aca="false">IF(AND(DN$7=$I39,ISNUMBER($I39)),"◆","")</f>
        <v/>
      </c>
      <c r="DO39" s="57" t="str">
        <f aca="false">IF(AND(DO$7=$I39,ISNUMBER($I39)),"◆","")</f>
        <v/>
      </c>
      <c r="DP39" s="57" t="str">
        <f aca="false">IF(AND(DP$7=$I39,ISNUMBER($I39)),"◆","")</f>
        <v/>
      </c>
      <c r="DQ39" s="57" t="str">
        <f aca="false">IF(AND(DQ$7=$I39,ISNUMBER($I39)),"◆","")</f>
        <v/>
      </c>
      <c r="DR39" s="57" t="str">
        <f aca="false">IF(AND(DR$7=$I39,ISNUMBER($I39)),"◆","")</f>
        <v/>
      </c>
      <c r="DS39" s="57" t="str">
        <f aca="false">IF(AND(DS$7=$I39,ISNUMBER($I39)),"◆","")</f>
        <v/>
      </c>
      <c r="DT39" s="57" t="str">
        <f aca="false">IF(AND(DT$7=$I39,ISNUMBER($I39)),"◆","")</f>
        <v/>
      </c>
      <c r="DU39" s="57" t="str">
        <f aca="false">IF(AND(DU$7=$I39,ISNUMBER($I39)),"◆","")</f>
        <v/>
      </c>
      <c r="DV39" s="57" t="str">
        <f aca="false">IF(AND(DV$7=$I39,ISNUMBER($I39)),"◆","")</f>
        <v/>
      </c>
      <c r="DW39" s="57" t="str">
        <f aca="false">IF(AND(DW$7=$I39,ISNUMBER($I39)),"◆","")</f>
        <v/>
      </c>
      <c r="DX39" s="57" t="str">
        <f aca="false">IF(AND(DX$7=$I39,ISNUMBER($I39)),"◆","")</f>
        <v/>
      </c>
      <c r="DY39" s="57" t="str">
        <f aca="false">IF(AND(DY$7=$I39,ISNUMBER($I39)),"◆","")</f>
        <v/>
      </c>
      <c r="DZ39" s="57" t="str">
        <f aca="false">IF(AND(DZ$7=$I39,ISNUMBER($I39)),"◆","")</f>
        <v/>
      </c>
      <c r="EA39" s="57" t="str">
        <f aca="false">IF(AND(EA$7=$I39,ISNUMBER($I39)),"◆","")</f>
        <v/>
      </c>
      <c r="EB39" s="57" t="str">
        <f aca="false">IF(AND(EB$7=$I39,ISNUMBER($I39)),"◆","")</f>
        <v/>
      </c>
      <c r="EC39" s="57" t="str">
        <f aca="false">IF(AND(EC$7=$I39,ISNUMBER($I39)),"◆","")</f>
        <v/>
      </c>
      <c r="ED39" s="57" t="str">
        <f aca="false">IF(AND(ED$7=$I39,ISNUMBER($I39)),"◆","")</f>
        <v/>
      </c>
      <c r="EE39" s="57" t="str">
        <f aca="false">IF(AND(EE$7=$I39,ISNUMBER($I39)),"◆","")</f>
        <v/>
      </c>
      <c r="EF39" s="57" t="str">
        <f aca="false">IF(AND(EF$7=$I39,ISNUMBER($I39)),"◆","")</f>
        <v/>
      </c>
      <c r="EG39" s="57" t="str">
        <f aca="false">IF(AND(EG$7=$I39,ISNUMBER($I39)),"◆","")</f>
        <v/>
      </c>
      <c r="EH39" s="57" t="str">
        <f aca="false">IF(AND(EH$7=$I39,ISNUMBER($I39)),"◆","")</f>
        <v/>
      </c>
      <c r="EI39" s="57" t="str">
        <f aca="false">IF(AND(EI$7=$I39,ISNUMBER($I39)),"◆","")</f>
        <v/>
      </c>
      <c r="EJ39" s="57" t="str">
        <f aca="false">IF(AND(EJ$7=$I39,ISNUMBER($I39)),"◆","")</f>
        <v/>
      </c>
      <c r="EK39" s="57" t="str">
        <f aca="false">IF(AND(EK$7=$I39,ISNUMBER($I39)),"◆","")</f>
        <v/>
      </c>
      <c r="EL39" s="57" t="str">
        <f aca="false">IF(AND(EL$7=$I39,ISNUMBER($I39)),"◆","")</f>
        <v/>
      </c>
      <c r="EM39" s="57" t="str">
        <f aca="false">IF(AND(EM$7=$I39,ISNUMBER($I39)),"◆","")</f>
        <v/>
      </c>
      <c r="EN39" s="57" t="str">
        <f aca="false">IF(AND(EN$7=$I39,ISNUMBER($I39)),"◆","")</f>
        <v/>
      </c>
      <c r="EO39" s="57" t="str">
        <f aca="false">IF(AND(EO$7=$I39,ISNUMBER($I39)),"◆","")</f>
        <v/>
      </c>
      <c r="EP39" s="57" t="str">
        <f aca="false">IF(AND(EP$7=$I39,ISNUMBER($I39)),"◆","")</f>
        <v/>
      </c>
      <c r="EQ39" s="57" t="str">
        <f aca="false">IF(AND(EQ$7=$I39,ISNUMBER($I39)),"◆","")</f>
        <v/>
      </c>
      <c r="ER39" s="57" t="str">
        <f aca="false">IF(AND(ER$7=$I39,ISNUMBER($I39)),"◆","")</f>
        <v/>
      </c>
      <c r="ES39" s="57" t="str">
        <f aca="false">IF(AND(ES$7=$I39,ISNUMBER($I39)),"◆","")</f>
        <v/>
      </c>
      <c r="ET39" s="57" t="str">
        <f aca="false">IF(AND(ET$7=$I39,ISNUMBER($I39)),"◆","")</f>
        <v/>
      </c>
      <c r="EU39" s="57" t="str">
        <f aca="false">IF(AND(EU$7=$I39,ISNUMBER($I39)),"◆","")</f>
        <v/>
      </c>
      <c r="EV39" s="57" t="str">
        <f aca="false">IF(AND(EV$7=$I39,ISNUMBER($I39)),"◆","")</f>
        <v/>
      </c>
      <c r="EW39" s="57" t="str">
        <f aca="false">IF(AND(EW$7=$I39,ISNUMBER($I39)),"◆","")</f>
        <v/>
      </c>
      <c r="EX39" s="57" t="str">
        <f aca="false">IF(AND(EX$7=$I39,ISNUMBER($I39)),"◆","")</f>
        <v/>
      </c>
      <c r="EY39" s="57" t="str">
        <f aca="false">IF(AND(EY$7=$I39,ISNUMBER($I39)),"◆","")</f>
        <v/>
      </c>
      <c r="EZ39" s="57" t="str">
        <f aca="false">IF(AND(EZ$7=$I39,ISNUMBER($I39)),"◆","")</f>
        <v/>
      </c>
      <c r="FA39" s="57" t="str">
        <f aca="false">IF(AND(FA$7=$I39,ISNUMBER($I39)),"◆","")</f>
        <v/>
      </c>
      <c r="FB39" s="57" t="str">
        <f aca="false">IF(AND(FB$7=$I39,ISNUMBER($I39)),"◆","")</f>
        <v/>
      </c>
      <c r="FC39" s="57" t="str">
        <f aca="false">IF(AND(FC$7=$I39,ISNUMBER($I39)),"◆","")</f>
        <v/>
      </c>
      <c r="FD39" s="57" t="str">
        <f aca="false">IF(AND(FD$7=$I39,ISNUMBER($I39)),"◆","")</f>
        <v/>
      </c>
      <c r="FE39" s="57" t="str">
        <f aca="false">IF(AND(FE$7=$I39,ISNUMBER($I39)),"◆","")</f>
        <v>◆</v>
      </c>
      <c r="FF39" s="57" t="str">
        <f aca="false">IF(AND(FF$7=$I39,ISNUMBER($I39)),"◆","")</f>
        <v/>
      </c>
      <c r="FG39" s="57" t="str">
        <f aca="false">IF(AND(FG$7=$I39,ISNUMBER($I39)),"◆","")</f>
        <v/>
      </c>
      <c r="FH39" s="57" t="str">
        <f aca="false">IF(AND(FH$7=$I39,ISNUMBER($I39)),"◆","")</f>
        <v/>
      </c>
      <c r="FI39" s="57" t="str">
        <f aca="false">IF(AND(FI$7=$I39,ISNUMBER($I39)),"◆","")</f>
        <v/>
      </c>
      <c r="FJ39" s="57" t="str">
        <f aca="false">IF(AND(FJ$7=$I39,ISNUMBER($I39)),"◆","")</f>
        <v/>
      </c>
      <c r="FK39" s="57" t="str">
        <f aca="false">IF(AND(FK$7=$I39,ISNUMBER($I39)),"◆","")</f>
        <v/>
      </c>
      <c r="FL39" s="57" t="str">
        <f aca="false">IF(AND(FL$7=$I39,ISNUMBER($I39)),"◆","")</f>
        <v/>
      </c>
      <c r="FM39" s="57" t="str">
        <f aca="false">IF(AND(FM$7=$I39,ISNUMBER($I39)),"◆","")</f>
        <v/>
      </c>
      <c r="FN39" s="57" t="str">
        <f aca="false">IF(AND(FN$7=$I39,ISNUMBER($I39)),"◆","")</f>
        <v/>
      </c>
      <c r="FO39" s="57" t="str">
        <f aca="false">IF(AND(FO$7=$I39,ISNUMBER($I39)),"◆","")</f>
        <v/>
      </c>
      <c r="FP39" s="57" t="str">
        <f aca="false">IF(AND(FP$7=$I39,ISNUMBER($I39)),"◆","")</f>
        <v/>
      </c>
      <c r="FQ39" s="57" t="str">
        <f aca="false">IF(AND(FQ$7=$I39,ISNUMBER($I39)),"◆","")</f>
        <v/>
      </c>
      <c r="FR39" s="57" t="str">
        <f aca="false">IF(AND(FR$7=$I39,ISNUMBER($I39)),"◆","")</f>
        <v/>
      </c>
      <c r="FS39" s="57" t="str">
        <f aca="false">IF(AND(FS$7=$I39,ISNUMBER($I39)),"◆","")</f>
        <v/>
      </c>
      <c r="FT39" s="57" t="str">
        <f aca="false">IF(AND(FT$7=$I39,ISNUMBER($I39)),"◆","")</f>
        <v/>
      </c>
      <c r="FU39" s="57" t="str">
        <f aca="false">IF(AND(FU$7=$I39,ISNUMBER($I39)),"◆","")</f>
        <v/>
      </c>
      <c r="FV39" s="57" t="str">
        <f aca="false">IF(AND(FV$7=$I39,ISNUMBER($I39)),"◆","")</f>
        <v/>
      </c>
    </row>
    <row r="40" customFormat="false" ht="25.5" hidden="false" customHeight="true" outlineLevel="0" collapsed="false">
      <c r="A40" s="50" t="str">
        <f aca="false">制作工程表!A33</f>
        <v>T25</v>
      </c>
      <c r="B40" s="51" t="str">
        <f aca="false">制作工程表!B33</f>
        <v>修正</v>
      </c>
      <c r="C40" s="52" t="str">
        <f aca="false">制作工程表!C33</f>
        <v>最終修正・公開準備</v>
      </c>
      <c r="D40" s="53" t="str">
        <f aca="false">制作工程表!D33</f>
        <v>実装担当</v>
      </c>
      <c r="E40" s="53" t="str">
        <f aca="false">制作工程表!E33</f>
        <v>—</v>
      </c>
      <c r="F40" s="54" t="str">
        <f aca="false">IF(制作工程表!B33="取材撮影","撮影",IF(OR(制作工程表!D33="広報窓口",制作工程表!D33="代表",制作工程表!D33="技術営業課",制作工程表!D33="品質管理課",制作工程表!D33="製造部"),"企業","制作"))</f>
        <v>制作</v>
      </c>
      <c r="G40" s="55" t="n">
        <f aca="false">制作工程表!G33</f>
        <v>46479</v>
      </c>
      <c r="H40" s="55" t="n">
        <f aca="false">制作工程表!H33</f>
        <v>46482</v>
      </c>
      <c r="I40" s="56" t="str">
        <f aca="false">制作工程表!I33</f>
        <v>—</v>
      </c>
      <c r="J40" s="51" t="str">
        <f aca="false">制作工程表!K33</f>
        <v>未着手</v>
      </c>
      <c r="K40" s="57" t="str">
        <f aca="false">IF(AND(K$7=$I40,ISNUMBER($I40)),"◆","")</f>
        <v/>
      </c>
      <c r="L40" s="57" t="str">
        <f aca="false">IF(AND(L$7=$I40,ISNUMBER($I40)),"◆","")</f>
        <v/>
      </c>
      <c r="M40" s="57" t="str">
        <f aca="false">IF(AND(M$7=$I40,ISNUMBER($I40)),"◆","")</f>
        <v/>
      </c>
      <c r="N40" s="57" t="str">
        <f aca="false">IF(AND(N$7=$I40,ISNUMBER($I40)),"◆","")</f>
        <v/>
      </c>
      <c r="O40" s="57" t="str">
        <f aca="false">IF(AND(O$7=$I40,ISNUMBER($I40)),"◆","")</f>
        <v/>
      </c>
      <c r="P40" s="57" t="str">
        <f aca="false">IF(AND(P$7=$I40,ISNUMBER($I40)),"◆","")</f>
        <v/>
      </c>
      <c r="Q40" s="57" t="str">
        <f aca="false">IF(AND(Q$7=$I40,ISNUMBER($I40)),"◆","")</f>
        <v/>
      </c>
      <c r="R40" s="57" t="str">
        <f aca="false">IF(AND(R$7=$I40,ISNUMBER($I40)),"◆","")</f>
        <v/>
      </c>
      <c r="S40" s="57" t="str">
        <f aca="false">IF(AND(S$7=$I40,ISNUMBER($I40)),"◆","")</f>
        <v/>
      </c>
      <c r="T40" s="57" t="str">
        <f aca="false">IF(AND(T$7=$I40,ISNUMBER($I40)),"◆","")</f>
        <v/>
      </c>
      <c r="U40" s="57" t="str">
        <f aca="false">IF(AND(U$7=$I40,ISNUMBER($I40)),"◆","")</f>
        <v/>
      </c>
      <c r="V40" s="57" t="str">
        <f aca="false">IF(AND(V$7=$I40,ISNUMBER($I40)),"◆","")</f>
        <v/>
      </c>
      <c r="W40" s="57" t="str">
        <f aca="false">IF(AND(W$7=$I40,ISNUMBER($I40)),"◆","")</f>
        <v/>
      </c>
      <c r="X40" s="57" t="str">
        <f aca="false">IF(AND(X$7=$I40,ISNUMBER($I40)),"◆","")</f>
        <v/>
      </c>
      <c r="Y40" s="57" t="str">
        <f aca="false">IF(AND(Y$7=$I40,ISNUMBER($I40)),"◆","")</f>
        <v/>
      </c>
      <c r="Z40" s="57" t="str">
        <f aca="false">IF(AND(Z$7=$I40,ISNUMBER($I40)),"◆","")</f>
        <v/>
      </c>
      <c r="AA40" s="57" t="str">
        <f aca="false">IF(AND(AA$7=$I40,ISNUMBER($I40)),"◆","")</f>
        <v/>
      </c>
      <c r="AB40" s="57" t="str">
        <f aca="false">IF(AND(AB$7=$I40,ISNUMBER($I40)),"◆","")</f>
        <v/>
      </c>
      <c r="AC40" s="57" t="str">
        <f aca="false">IF(AND(AC$7=$I40,ISNUMBER($I40)),"◆","")</f>
        <v/>
      </c>
      <c r="AD40" s="57" t="str">
        <f aca="false">IF(AND(AD$7=$I40,ISNUMBER($I40)),"◆","")</f>
        <v/>
      </c>
      <c r="AE40" s="57" t="str">
        <f aca="false">IF(AND(AE$7=$I40,ISNUMBER($I40)),"◆","")</f>
        <v/>
      </c>
      <c r="AF40" s="57" t="str">
        <f aca="false">IF(AND(AF$7=$I40,ISNUMBER($I40)),"◆","")</f>
        <v/>
      </c>
      <c r="AG40" s="57" t="str">
        <f aca="false">IF(AND(AG$7=$I40,ISNUMBER($I40)),"◆","")</f>
        <v/>
      </c>
      <c r="AH40" s="57" t="str">
        <f aca="false">IF(AND(AH$7=$I40,ISNUMBER($I40)),"◆","")</f>
        <v/>
      </c>
      <c r="AI40" s="57" t="str">
        <f aca="false">IF(AND(AI$7=$I40,ISNUMBER($I40)),"◆","")</f>
        <v/>
      </c>
      <c r="AJ40" s="57" t="str">
        <f aca="false">IF(AND(AJ$7=$I40,ISNUMBER($I40)),"◆","")</f>
        <v/>
      </c>
      <c r="AK40" s="57" t="str">
        <f aca="false">IF(AND(AK$7=$I40,ISNUMBER($I40)),"◆","")</f>
        <v/>
      </c>
      <c r="AL40" s="57" t="str">
        <f aca="false">IF(AND(AL$7=$I40,ISNUMBER($I40)),"◆","")</f>
        <v/>
      </c>
      <c r="AM40" s="57" t="str">
        <f aca="false">IF(AND(AM$7=$I40,ISNUMBER($I40)),"◆","")</f>
        <v/>
      </c>
      <c r="AN40" s="57" t="str">
        <f aca="false">IF(AND(AN$7=$I40,ISNUMBER($I40)),"◆","")</f>
        <v/>
      </c>
      <c r="AO40" s="57" t="str">
        <f aca="false">IF(AND(AO$7=$I40,ISNUMBER($I40)),"◆","")</f>
        <v/>
      </c>
      <c r="AP40" s="57" t="str">
        <f aca="false">IF(AND(AP$7=$I40,ISNUMBER($I40)),"◆","")</f>
        <v/>
      </c>
      <c r="AQ40" s="57" t="str">
        <f aca="false">IF(AND(AQ$7=$I40,ISNUMBER($I40)),"◆","")</f>
        <v/>
      </c>
      <c r="AR40" s="57" t="str">
        <f aca="false">IF(AND(AR$7=$I40,ISNUMBER($I40)),"◆","")</f>
        <v/>
      </c>
      <c r="AS40" s="57" t="str">
        <f aca="false">IF(AND(AS$7=$I40,ISNUMBER($I40)),"◆","")</f>
        <v/>
      </c>
      <c r="AT40" s="57" t="str">
        <f aca="false">IF(AND(AT$7=$I40,ISNUMBER($I40)),"◆","")</f>
        <v/>
      </c>
      <c r="AU40" s="57" t="str">
        <f aca="false">IF(AND(AU$7=$I40,ISNUMBER($I40)),"◆","")</f>
        <v/>
      </c>
      <c r="AV40" s="57" t="str">
        <f aca="false">IF(AND(AV$7=$I40,ISNUMBER($I40)),"◆","")</f>
        <v/>
      </c>
      <c r="AW40" s="57" t="str">
        <f aca="false">IF(AND(AW$7=$I40,ISNUMBER($I40)),"◆","")</f>
        <v/>
      </c>
      <c r="AX40" s="57" t="str">
        <f aca="false">IF(AND(AX$7=$I40,ISNUMBER($I40)),"◆","")</f>
        <v/>
      </c>
      <c r="AY40" s="57" t="str">
        <f aca="false">IF(AND(AY$7=$I40,ISNUMBER($I40)),"◆","")</f>
        <v/>
      </c>
      <c r="AZ40" s="57" t="str">
        <f aca="false">IF(AND(AZ$7=$I40,ISNUMBER($I40)),"◆","")</f>
        <v/>
      </c>
      <c r="BA40" s="57" t="str">
        <f aca="false">IF(AND(BA$7=$I40,ISNUMBER($I40)),"◆","")</f>
        <v/>
      </c>
      <c r="BB40" s="57" t="str">
        <f aca="false">IF(AND(BB$7=$I40,ISNUMBER($I40)),"◆","")</f>
        <v/>
      </c>
      <c r="BC40" s="57" t="str">
        <f aca="false">IF(AND(BC$7=$I40,ISNUMBER($I40)),"◆","")</f>
        <v/>
      </c>
      <c r="BD40" s="57" t="str">
        <f aca="false">IF(AND(BD$7=$I40,ISNUMBER($I40)),"◆","")</f>
        <v/>
      </c>
      <c r="BE40" s="57" t="str">
        <f aca="false">IF(AND(BE$7=$I40,ISNUMBER($I40)),"◆","")</f>
        <v/>
      </c>
      <c r="BF40" s="57" t="str">
        <f aca="false">IF(AND(BF$7=$I40,ISNUMBER($I40)),"◆","")</f>
        <v/>
      </c>
      <c r="BG40" s="57" t="str">
        <f aca="false">IF(AND(BG$7=$I40,ISNUMBER($I40)),"◆","")</f>
        <v/>
      </c>
      <c r="BH40" s="57" t="str">
        <f aca="false">IF(AND(BH$7=$I40,ISNUMBER($I40)),"◆","")</f>
        <v/>
      </c>
      <c r="BI40" s="57" t="str">
        <f aca="false">IF(AND(BI$7=$I40,ISNUMBER($I40)),"◆","")</f>
        <v/>
      </c>
      <c r="BJ40" s="57" t="str">
        <f aca="false">IF(AND(BJ$7=$I40,ISNUMBER($I40)),"◆","")</f>
        <v/>
      </c>
      <c r="BK40" s="57" t="str">
        <f aca="false">IF(AND(BK$7=$I40,ISNUMBER($I40)),"◆","")</f>
        <v/>
      </c>
      <c r="BL40" s="57" t="str">
        <f aca="false">IF(AND(BL$7=$I40,ISNUMBER($I40)),"◆","")</f>
        <v/>
      </c>
      <c r="BM40" s="57" t="str">
        <f aca="false">IF(AND(BM$7=$I40,ISNUMBER($I40)),"◆","")</f>
        <v/>
      </c>
      <c r="BN40" s="57" t="str">
        <f aca="false">IF(AND(BN$7=$I40,ISNUMBER($I40)),"◆","")</f>
        <v/>
      </c>
      <c r="BO40" s="57" t="str">
        <f aca="false">IF(AND(BO$7=$I40,ISNUMBER($I40)),"◆","")</f>
        <v/>
      </c>
      <c r="BP40" s="57" t="str">
        <f aca="false">IF(AND(BP$7=$I40,ISNUMBER($I40)),"◆","")</f>
        <v/>
      </c>
      <c r="BQ40" s="57" t="str">
        <f aca="false">IF(AND(BQ$7=$I40,ISNUMBER($I40)),"◆","")</f>
        <v/>
      </c>
      <c r="BR40" s="57" t="str">
        <f aca="false">IF(AND(BR$7=$I40,ISNUMBER($I40)),"◆","")</f>
        <v/>
      </c>
      <c r="BS40" s="57" t="str">
        <f aca="false">IF(AND(BS$7=$I40,ISNUMBER($I40)),"◆","")</f>
        <v/>
      </c>
      <c r="BT40" s="57" t="str">
        <f aca="false">IF(AND(BT$7=$I40,ISNUMBER($I40)),"◆","")</f>
        <v/>
      </c>
      <c r="BU40" s="57" t="str">
        <f aca="false">IF(AND(BU$7=$I40,ISNUMBER($I40)),"◆","")</f>
        <v/>
      </c>
      <c r="BV40" s="57" t="str">
        <f aca="false">IF(AND(BV$7=$I40,ISNUMBER($I40)),"◆","")</f>
        <v/>
      </c>
      <c r="BW40" s="57" t="str">
        <f aca="false">IF(AND(BW$7=$I40,ISNUMBER($I40)),"◆","")</f>
        <v/>
      </c>
      <c r="BX40" s="57" t="str">
        <f aca="false">IF(AND(BX$7=$I40,ISNUMBER($I40)),"◆","")</f>
        <v/>
      </c>
      <c r="BY40" s="57" t="str">
        <f aca="false">IF(AND(BY$7=$I40,ISNUMBER($I40)),"◆","")</f>
        <v/>
      </c>
      <c r="BZ40" s="57" t="str">
        <f aca="false">IF(AND(BZ$7=$I40,ISNUMBER($I40)),"◆","")</f>
        <v/>
      </c>
      <c r="CA40" s="57" t="str">
        <f aca="false">IF(AND(CA$7=$I40,ISNUMBER($I40)),"◆","")</f>
        <v/>
      </c>
      <c r="CB40" s="57" t="str">
        <f aca="false">IF(AND(CB$7=$I40,ISNUMBER($I40)),"◆","")</f>
        <v/>
      </c>
      <c r="CC40" s="57" t="str">
        <f aca="false">IF(AND(CC$7=$I40,ISNUMBER($I40)),"◆","")</f>
        <v/>
      </c>
      <c r="CD40" s="57" t="str">
        <f aca="false">IF(AND(CD$7=$I40,ISNUMBER($I40)),"◆","")</f>
        <v/>
      </c>
      <c r="CE40" s="57" t="str">
        <f aca="false">IF(AND(CE$7=$I40,ISNUMBER($I40)),"◆","")</f>
        <v/>
      </c>
      <c r="CF40" s="57" t="str">
        <f aca="false">IF(AND(CF$7=$I40,ISNUMBER($I40)),"◆","")</f>
        <v/>
      </c>
      <c r="CG40" s="57" t="str">
        <f aca="false">IF(AND(CG$7=$I40,ISNUMBER($I40)),"◆","")</f>
        <v/>
      </c>
      <c r="CH40" s="57" t="str">
        <f aca="false">IF(AND(CH$7=$I40,ISNUMBER($I40)),"◆","")</f>
        <v/>
      </c>
      <c r="CI40" s="57" t="str">
        <f aca="false">IF(AND(CI$7=$I40,ISNUMBER($I40)),"◆","")</f>
        <v/>
      </c>
      <c r="CJ40" s="57" t="str">
        <f aca="false">IF(AND(CJ$7=$I40,ISNUMBER($I40)),"◆","")</f>
        <v/>
      </c>
      <c r="CK40" s="57" t="str">
        <f aca="false">IF(AND(CK$7=$I40,ISNUMBER($I40)),"◆","")</f>
        <v/>
      </c>
      <c r="CL40" s="57" t="str">
        <f aca="false">IF(AND(CL$7=$I40,ISNUMBER($I40)),"◆","")</f>
        <v/>
      </c>
      <c r="CM40" s="57" t="str">
        <f aca="false">IF(AND(CM$7=$I40,ISNUMBER($I40)),"◆","")</f>
        <v/>
      </c>
      <c r="CN40" s="57" t="str">
        <f aca="false">IF(AND(CN$7=$I40,ISNUMBER($I40)),"◆","")</f>
        <v/>
      </c>
      <c r="CO40" s="57" t="str">
        <f aca="false">IF(AND(CO$7=$I40,ISNUMBER($I40)),"◆","")</f>
        <v/>
      </c>
      <c r="CP40" s="57" t="str">
        <f aca="false">IF(AND(CP$7=$I40,ISNUMBER($I40)),"◆","")</f>
        <v/>
      </c>
      <c r="CQ40" s="57" t="str">
        <f aca="false">IF(AND(CQ$7=$I40,ISNUMBER($I40)),"◆","")</f>
        <v/>
      </c>
      <c r="CR40" s="57" t="str">
        <f aca="false">IF(AND(CR$7=$I40,ISNUMBER($I40)),"◆","")</f>
        <v/>
      </c>
      <c r="CS40" s="57" t="str">
        <f aca="false">IF(AND(CS$7=$I40,ISNUMBER($I40)),"◆","")</f>
        <v/>
      </c>
      <c r="CT40" s="57" t="str">
        <f aca="false">IF(AND(CT$7=$I40,ISNUMBER($I40)),"◆","")</f>
        <v/>
      </c>
      <c r="CU40" s="57" t="str">
        <f aca="false">IF(AND(CU$7=$I40,ISNUMBER($I40)),"◆","")</f>
        <v/>
      </c>
      <c r="CV40" s="57" t="str">
        <f aca="false">IF(AND(CV$7=$I40,ISNUMBER($I40)),"◆","")</f>
        <v/>
      </c>
      <c r="CW40" s="57" t="str">
        <f aca="false">IF(AND(CW$7=$I40,ISNUMBER($I40)),"◆","")</f>
        <v/>
      </c>
      <c r="CX40" s="57" t="str">
        <f aca="false">IF(AND(CX$7=$I40,ISNUMBER($I40)),"◆","")</f>
        <v/>
      </c>
      <c r="CY40" s="57" t="str">
        <f aca="false">IF(AND(CY$7=$I40,ISNUMBER($I40)),"◆","")</f>
        <v/>
      </c>
      <c r="CZ40" s="57" t="str">
        <f aca="false">IF(AND(CZ$7=$I40,ISNUMBER($I40)),"◆","")</f>
        <v/>
      </c>
      <c r="DA40" s="57" t="str">
        <f aca="false">IF(AND(DA$7=$I40,ISNUMBER($I40)),"◆","")</f>
        <v/>
      </c>
      <c r="DB40" s="57" t="str">
        <f aca="false">IF(AND(DB$7=$I40,ISNUMBER($I40)),"◆","")</f>
        <v/>
      </c>
      <c r="DC40" s="57" t="str">
        <f aca="false">IF(AND(DC$7=$I40,ISNUMBER($I40)),"◆","")</f>
        <v/>
      </c>
      <c r="DD40" s="57" t="str">
        <f aca="false">IF(AND(DD$7=$I40,ISNUMBER($I40)),"◆","")</f>
        <v/>
      </c>
      <c r="DE40" s="57" t="str">
        <f aca="false">IF(AND(DE$7=$I40,ISNUMBER($I40)),"◆","")</f>
        <v/>
      </c>
      <c r="DF40" s="57" t="str">
        <f aca="false">IF(AND(DF$7=$I40,ISNUMBER($I40)),"◆","")</f>
        <v/>
      </c>
      <c r="DG40" s="57" t="str">
        <f aca="false">IF(AND(DG$7=$I40,ISNUMBER($I40)),"◆","")</f>
        <v/>
      </c>
      <c r="DH40" s="57" t="str">
        <f aca="false">IF(AND(DH$7=$I40,ISNUMBER($I40)),"◆","")</f>
        <v/>
      </c>
      <c r="DI40" s="57" t="str">
        <f aca="false">IF(AND(DI$7=$I40,ISNUMBER($I40)),"◆","")</f>
        <v/>
      </c>
      <c r="DJ40" s="57" t="str">
        <f aca="false">IF(AND(DJ$7=$I40,ISNUMBER($I40)),"◆","")</f>
        <v/>
      </c>
      <c r="DK40" s="57" t="str">
        <f aca="false">IF(AND(DK$7=$I40,ISNUMBER($I40)),"◆","")</f>
        <v/>
      </c>
      <c r="DL40" s="57" t="str">
        <f aca="false">IF(AND(DL$7=$I40,ISNUMBER($I40)),"◆","")</f>
        <v/>
      </c>
      <c r="DM40" s="57" t="str">
        <f aca="false">IF(AND(DM$7=$I40,ISNUMBER($I40)),"◆","")</f>
        <v/>
      </c>
      <c r="DN40" s="57" t="str">
        <f aca="false">IF(AND(DN$7=$I40,ISNUMBER($I40)),"◆","")</f>
        <v/>
      </c>
      <c r="DO40" s="57" t="str">
        <f aca="false">IF(AND(DO$7=$I40,ISNUMBER($I40)),"◆","")</f>
        <v/>
      </c>
      <c r="DP40" s="57" t="str">
        <f aca="false">IF(AND(DP$7=$I40,ISNUMBER($I40)),"◆","")</f>
        <v/>
      </c>
      <c r="DQ40" s="57" t="str">
        <f aca="false">IF(AND(DQ$7=$I40,ISNUMBER($I40)),"◆","")</f>
        <v/>
      </c>
      <c r="DR40" s="57" t="str">
        <f aca="false">IF(AND(DR$7=$I40,ISNUMBER($I40)),"◆","")</f>
        <v/>
      </c>
      <c r="DS40" s="57" t="str">
        <f aca="false">IF(AND(DS$7=$I40,ISNUMBER($I40)),"◆","")</f>
        <v/>
      </c>
      <c r="DT40" s="57" t="str">
        <f aca="false">IF(AND(DT$7=$I40,ISNUMBER($I40)),"◆","")</f>
        <v/>
      </c>
      <c r="DU40" s="57" t="str">
        <f aca="false">IF(AND(DU$7=$I40,ISNUMBER($I40)),"◆","")</f>
        <v/>
      </c>
      <c r="DV40" s="57" t="str">
        <f aca="false">IF(AND(DV$7=$I40,ISNUMBER($I40)),"◆","")</f>
        <v/>
      </c>
      <c r="DW40" s="57" t="str">
        <f aca="false">IF(AND(DW$7=$I40,ISNUMBER($I40)),"◆","")</f>
        <v/>
      </c>
      <c r="DX40" s="57" t="str">
        <f aca="false">IF(AND(DX$7=$I40,ISNUMBER($I40)),"◆","")</f>
        <v/>
      </c>
      <c r="DY40" s="57" t="str">
        <f aca="false">IF(AND(DY$7=$I40,ISNUMBER($I40)),"◆","")</f>
        <v/>
      </c>
      <c r="DZ40" s="57" t="str">
        <f aca="false">IF(AND(DZ$7=$I40,ISNUMBER($I40)),"◆","")</f>
        <v/>
      </c>
      <c r="EA40" s="57" t="str">
        <f aca="false">IF(AND(EA$7=$I40,ISNUMBER($I40)),"◆","")</f>
        <v/>
      </c>
      <c r="EB40" s="57" t="str">
        <f aca="false">IF(AND(EB$7=$I40,ISNUMBER($I40)),"◆","")</f>
        <v/>
      </c>
      <c r="EC40" s="57" t="str">
        <f aca="false">IF(AND(EC$7=$I40,ISNUMBER($I40)),"◆","")</f>
        <v/>
      </c>
      <c r="ED40" s="57" t="str">
        <f aca="false">IF(AND(ED$7=$I40,ISNUMBER($I40)),"◆","")</f>
        <v/>
      </c>
      <c r="EE40" s="57" t="str">
        <f aca="false">IF(AND(EE$7=$I40,ISNUMBER($I40)),"◆","")</f>
        <v/>
      </c>
      <c r="EF40" s="57" t="str">
        <f aca="false">IF(AND(EF$7=$I40,ISNUMBER($I40)),"◆","")</f>
        <v/>
      </c>
      <c r="EG40" s="57" t="str">
        <f aca="false">IF(AND(EG$7=$I40,ISNUMBER($I40)),"◆","")</f>
        <v/>
      </c>
      <c r="EH40" s="57" t="str">
        <f aca="false">IF(AND(EH$7=$I40,ISNUMBER($I40)),"◆","")</f>
        <v/>
      </c>
      <c r="EI40" s="57" t="str">
        <f aca="false">IF(AND(EI$7=$I40,ISNUMBER($I40)),"◆","")</f>
        <v/>
      </c>
      <c r="EJ40" s="57" t="str">
        <f aca="false">IF(AND(EJ$7=$I40,ISNUMBER($I40)),"◆","")</f>
        <v/>
      </c>
      <c r="EK40" s="57" t="str">
        <f aca="false">IF(AND(EK$7=$I40,ISNUMBER($I40)),"◆","")</f>
        <v/>
      </c>
      <c r="EL40" s="57" t="str">
        <f aca="false">IF(AND(EL$7=$I40,ISNUMBER($I40)),"◆","")</f>
        <v/>
      </c>
      <c r="EM40" s="57" t="str">
        <f aca="false">IF(AND(EM$7=$I40,ISNUMBER($I40)),"◆","")</f>
        <v/>
      </c>
      <c r="EN40" s="57" t="str">
        <f aca="false">IF(AND(EN$7=$I40,ISNUMBER($I40)),"◆","")</f>
        <v/>
      </c>
      <c r="EO40" s="57" t="str">
        <f aca="false">IF(AND(EO$7=$I40,ISNUMBER($I40)),"◆","")</f>
        <v/>
      </c>
      <c r="EP40" s="57" t="str">
        <f aca="false">IF(AND(EP$7=$I40,ISNUMBER($I40)),"◆","")</f>
        <v/>
      </c>
      <c r="EQ40" s="57" t="str">
        <f aca="false">IF(AND(EQ$7=$I40,ISNUMBER($I40)),"◆","")</f>
        <v/>
      </c>
      <c r="ER40" s="57" t="str">
        <f aca="false">IF(AND(ER$7=$I40,ISNUMBER($I40)),"◆","")</f>
        <v/>
      </c>
      <c r="ES40" s="57" t="str">
        <f aca="false">IF(AND(ES$7=$I40,ISNUMBER($I40)),"◆","")</f>
        <v/>
      </c>
      <c r="ET40" s="57" t="str">
        <f aca="false">IF(AND(ET$7=$I40,ISNUMBER($I40)),"◆","")</f>
        <v/>
      </c>
      <c r="EU40" s="57" t="str">
        <f aca="false">IF(AND(EU$7=$I40,ISNUMBER($I40)),"◆","")</f>
        <v/>
      </c>
      <c r="EV40" s="57" t="str">
        <f aca="false">IF(AND(EV$7=$I40,ISNUMBER($I40)),"◆","")</f>
        <v/>
      </c>
      <c r="EW40" s="57" t="str">
        <f aca="false">IF(AND(EW$7=$I40,ISNUMBER($I40)),"◆","")</f>
        <v/>
      </c>
      <c r="EX40" s="57" t="str">
        <f aca="false">IF(AND(EX$7=$I40,ISNUMBER($I40)),"◆","")</f>
        <v/>
      </c>
      <c r="EY40" s="57" t="str">
        <f aca="false">IF(AND(EY$7=$I40,ISNUMBER($I40)),"◆","")</f>
        <v/>
      </c>
      <c r="EZ40" s="57" t="str">
        <f aca="false">IF(AND(EZ$7=$I40,ISNUMBER($I40)),"◆","")</f>
        <v/>
      </c>
      <c r="FA40" s="57" t="str">
        <f aca="false">IF(AND(FA$7=$I40,ISNUMBER($I40)),"◆","")</f>
        <v/>
      </c>
      <c r="FB40" s="57" t="str">
        <f aca="false">IF(AND(FB$7=$I40,ISNUMBER($I40)),"◆","")</f>
        <v/>
      </c>
      <c r="FC40" s="57" t="str">
        <f aca="false">IF(AND(FC$7=$I40,ISNUMBER($I40)),"◆","")</f>
        <v/>
      </c>
      <c r="FD40" s="57" t="str">
        <f aca="false">IF(AND(FD$7=$I40,ISNUMBER($I40)),"◆","")</f>
        <v/>
      </c>
      <c r="FE40" s="57" t="str">
        <f aca="false">IF(AND(FE$7=$I40,ISNUMBER($I40)),"◆","")</f>
        <v/>
      </c>
      <c r="FF40" s="57" t="str">
        <f aca="false">IF(AND(FF$7=$I40,ISNUMBER($I40)),"◆","")</f>
        <v/>
      </c>
      <c r="FG40" s="57" t="str">
        <f aca="false">IF(AND(FG$7=$I40,ISNUMBER($I40)),"◆","")</f>
        <v/>
      </c>
      <c r="FH40" s="57" t="str">
        <f aca="false">IF(AND(FH$7=$I40,ISNUMBER($I40)),"◆","")</f>
        <v/>
      </c>
      <c r="FI40" s="57" t="str">
        <f aca="false">IF(AND(FI$7=$I40,ISNUMBER($I40)),"◆","")</f>
        <v/>
      </c>
      <c r="FJ40" s="57" t="str">
        <f aca="false">IF(AND(FJ$7=$I40,ISNUMBER($I40)),"◆","")</f>
        <v/>
      </c>
      <c r="FK40" s="57" t="str">
        <f aca="false">IF(AND(FK$7=$I40,ISNUMBER($I40)),"◆","")</f>
        <v/>
      </c>
      <c r="FL40" s="57" t="str">
        <f aca="false">IF(AND(FL$7=$I40,ISNUMBER($I40)),"◆","")</f>
        <v/>
      </c>
      <c r="FM40" s="57" t="str">
        <f aca="false">IF(AND(FM$7=$I40,ISNUMBER($I40)),"◆","")</f>
        <v/>
      </c>
      <c r="FN40" s="57" t="str">
        <f aca="false">IF(AND(FN$7=$I40,ISNUMBER($I40)),"◆","")</f>
        <v/>
      </c>
      <c r="FO40" s="57" t="str">
        <f aca="false">IF(AND(FO$7=$I40,ISNUMBER($I40)),"◆","")</f>
        <v/>
      </c>
      <c r="FP40" s="57" t="str">
        <f aca="false">IF(AND(FP$7=$I40,ISNUMBER($I40)),"◆","")</f>
        <v/>
      </c>
      <c r="FQ40" s="57" t="str">
        <f aca="false">IF(AND(FQ$7=$I40,ISNUMBER($I40)),"◆","")</f>
        <v/>
      </c>
      <c r="FR40" s="57" t="str">
        <f aca="false">IF(AND(FR$7=$I40,ISNUMBER($I40)),"◆","")</f>
        <v/>
      </c>
      <c r="FS40" s="57" t="str">
        <f aca="false">IF(AND(FS$7=$I40,ISNUMBER($I40)),"◆","")</f>
        <v/>
      </c>
      <c r="FT40" s="57" t="str">
        <f aca="false">IF(AND(FT$7=$I40,ISNUMBER($I40)),"◆","")</f>
        <v/>
      </c>
      <c r="FU40" s="57" t="str">
        <f aca="false">IF(AND(FU$7=$I40,ISNUMBER($I40)),"◆","")</f>
        <v/>
      </c>
      <c r="FV40" s="57" t="str">
        <f aca="false">IF(AND(FV$7=$I40,ISNUMBER($I40)),"◆","")</f>
        <v/>
      </c>
    </row>
    <row r="41" customFormat="false" ht="25.5" hidden="false" customHeight="true" outlineLevel="0" collapsed="false">
      <c r="A41" s="50" t="str">
        <f aca="false">制作工程表!A34</f>
        <v>T26</v>
      </c>
      <c r="B41" s="51" t="str">
        <f aca="false">制作工程表!B34</f>
        <v>公開</v>
      </c>
      <c r="C41" s="52" t="str">
        <f aca="false">制作工程表!C34</f>
        <v>公開・公開直後の確認</v>
      </c>
      <c r="D41" s="53" t="str">
        <f aca="false">制作工程表!D34</f>
        <v>実装担当</v>
      </c>
      <c r="E41" s="53" t="str">
        <f aca="false">制作工程表!E34</f>
        <v>広報窓口</v>
      </c>
      <c r="F41" s="54" t="str">
        <f aca="false">IF(制作工程表!B34="取材撮影","撮影",IF(OR(制作工程表!D34="広報窓口",制作工程表!D34="代表",制作工程表!D34="技術営業課",制作工程表!D34="品質管理課",制作工程表!D34="製造部"),"企業","制作"))</f>
        <v>制作</v>
      </c>
      <c r="G41" s="55" t="n">
        <f aca="false">制作工程表!G34</f>
        <v>46483</v>
      </c>
      <c r="H41" s="55" t="n">
        <f aca="false">制作工程表!H34</f>
        <v>46483</v>
      </c>
      <c r="I41" s="56" t="str">
        <f aca="false">制作工程表!I34</f>
        <v>—</v>
      </c>
      <c r="J41" s="51" t="str">
        <f aca="false">制作工程表!K34</f>
        <v>未着手</v>
      </c>
      <c r="K41" s="57" t="str">
        <f aca="false">IF(AND(K$7=$I41,ISNUMBER($I41)),"◆","")</f>
        <v/>
      </c>
      <c r="L41" s="57" t="str">
        <f aca="false">IF(AND(L$7=$I41,ISNUMBER($I41)),"◆","")</f>
        <v/>
      </c>
      <c r="M41" s="57" t="str">
        <f aca="false">IF(AND(M$7=$I41,ISNUMBER($I41)),"◆","")</f>
        <v/>
      </c>
      <c r="N41" s="57" t="str">
        <f aca="false">IF(AND(N$7=$I41,ISNUMBER($I41)),"◆","")</f>
        <v/>
      </c>
      <c r="O41" s="57" t="str">
        <f aca="false">IF(AND(O$7=$I41,ISNUMBER($I41)),"◆","")</f>
        <v/>
      </c>
      <c r="P41" s="57" t="str">
        <f aca="false">IF(AND(P$7=$I41,ISNUMBER($I41)),"◆","")</f>
        <v/>
      </c>
      <c r="Q41" s="57" t="str">
        <f aca="false">IF(AND(Q$7=$I41,ISNUMBER($I41)),"◆","")</f>
        <v/>
      </c>
      <c r="R41" s="57" t="str">
        <f aca="false">IF(AND(R$7=$I41,ISNUMBER($I41)),"◆","")</f>
        <v/>
      </c>
      <c r="S41" s="57" t="str">
        <f aca="false">IF(AND(S$7=$I41,ISNUMBER($I41)),"◆","")</f>
        <v/>
      </c>
      <c r="T41" s="57" t="str">
        <f aca="false">IF(AND(T$7=$I41,ISNUMBER($I41)),"◆","")</f>
        <v/>
      </c>
      <c r="U41" s="57" t="str">
        <f aca="false">IF(AND(U$7=$I41,ISNUMBER($I41)),"◆","")</f>
        <v/>
      </c>
      <c r="V41" s="57" t="str">
        <f aca="false">IF(AND(V$7=$I41,ISNUMBER($I41)),"◆","")</f>
        <v/>
      </c>
      <c r="W41" s="57" t="str">
        <f aca="false">IF(AND(W$7=$I41,ISNUMBER($I41)),"◆","")</f>
        <v/>
      </c>
      <c r="X41" s="57" t="str">
        <f aca="false">IF(AND(X$7=$I41,ISNUMBER($I41)),"◆","")</f>
        <v/>
      </c>
      <c r="Y41" s="57" t="str">
        <f aca="false">IF(AND(Y$7=$I41,ISNUMBER($I41)),"◆","")</f>
        <v/>
      </c>
      <c r="Z41" s="57" t="str">
        <f aca="false">IF(AND(Z$7=$I41,ISNUMBER($I41)),"◆","")</f>
        <v/>
      </c>
      <c r="AA41" s="57" t="str">
        <f aca="false">IF(AND(AA$7=$I41,ISNUMBER($I41)),"◆","")</f>
        <v/>
      </c>
      <c r="AB41" s="57" t="str">
        <f aca="false">IF(AND(AB$7=$I41,ISNUMBER($I41)),"◆","")</f>
        <v/>
      </c>
      <c r="AC41" s="57" t="str">
        <f aca="false">IF(AND(AC$7=$I41,ISNUMBER($I41)),"◆","")</f>
        <v/>
      </c>
      <c r="AD41" s="57" t="str">
        <f aca="false">IF(AND(AD$7=$I41,ISNUMBER($I41)),"◆","")</f>
        <v/>
      </c>
      <c r="AE41" s="57" t="str">
        <f aca="false">IF(AND(AE$7=$I41,ISNUMBER($I41)),"◆","")</f>
        <v/>
      </c>
      <c r="AF41" s="57" t="str">
        <f aca="false">IF(AND(AF$7=$I41,ISNUMBER($I41)),"◆","")</f>
        <v/>
      </c>
      <c r="AG41" s="57" t="str">
        <f aca="false">IF(AND(AG$7=$I41,ISNUMBER($I41)),"◆","")</f>
        <v/>
      </c>
      <c r="AH41" s="57" t="str">
        <f aca="false">IF(AND(AH$7=$I41,ISNUMBER($I41)),"◆","")</f>
        <v/>
      </c>
      <c r="AI41" s="57" t="str">
        <f aca="false">IF(AND(AI$7=$I41,ISNUMBER($I41)),"◆","")</f>
        <v/>
      </c>
      <c r="AJ41" s="57" t="str">
        <f aca="false">IF(AND(AJ$7=$I41,ISNUMBER($I41)),"◆","")</f>
        <v/>
      </c>
      <c r="AK41" s="57" t="str">
        <f aca="false">IF(AND(AK$7=$I41,ISNUMBER($I41)),"◆","")</f>
        <v/>
      </c>
      <c r="AL41" s="57" t="str">
        <f aca="false">IF(AND(AL$7=$I41,ISNUMBER($I41)),"◆","")</f>
        <v/>
      </c>
      <c r="AM41" s="57" t="str">
        <f aca="false">IF(AND(AM$7=$I41,ISNUMBER($I41)),"◆","")</f>
        <v/>
      </c>
      <c r="AN41" s="57" t="str">
        <f aca="false">IF(AND(AN$7=$I41,ISNUMBER($I41)),"◆","")</f>
        <v/>
      </c>
      <c r="AO41" s="57" t="str">
        <f aca="false">IF(AND(AO$7=$I41,ISNUMBER($I41)),"◆","")</f>
        <v/>
      </c>
      <c r="AP41" s="57" t="str">
        <f aca="false">IF(AND(AP$7=$I41,ISNUMBER($I41)),"◆","")</f>
        <v/>
      </c>
      <c r="AQ41" s="57" t="str">
        <f aca="false">IF(AND(AQ$7=$I41,ISNUMBER($I41)),"◆","")</f>
        <v/>
      </c>
      <c r="AR41" s="57" t="str">
        <f aca="false">IF(AND(AR$7=$I41,ISNUMBER($I41)),"◆","")</f>
        <v/>
      </c>
      <c r="AS41" s="57" t="str">
        <f aca="false">IF(AND(AS$7=$I41,ISNUMBER($I41)),"◆","")</f>
        <v/>
      </c>
      <c r="AT41" s="57" t="str">
        <f aca="false">IF(AND(AT$7=$I41,ISNUMBER($I41)),"◆","")</f>
        <v/>
      </c>
      <c r="AU41" s="57" t="str">
        <f aca="false">IF(AND(AU$7=$I41,ISNUMBER($I41)),"◆","")</f>
        <v/>
      </c>
      <c r="AV41" s="57" t="str">
        <f aca="false">IF(AND(AV$7=$I41,ISNUMBER($I41)),"◆","")</f>
        <v/>
      </c>
      <c r="AW41" s="57" t="str">
        <f aca="false">IF(AND(AW$7=$I41,ISNUMBER($I41)),"◆","")</f>
        <v/>
      </c>
      <c r="AX41" s="57" t="str">
        <f aca="false">IF(AND(AX$7=$I41,ISNUMBER($I41)),"◆","")</f>
        <v/>
      </c>
      <c r="AY41" s="57" t="str">
        <f aca="false">IF(AND(AY$7=$I41,ISNUMBER($I41)),"◆","")</f>
        <v/>
      </c>
      <c r="AZ41" s="57" t="str">
        <f aca="false">IF(AND(AZ$7=$I41,ISNUMBER($I41)),"◆","")</f>
        <v/>
      </c>
      <c r="BA41" s="57" t="str">
        <f aca="false">IF(AND(BA$7=$I41,ISNUMBER($I41)),"◆","")</f>
        <v/>
      </c>
      <c r="BB41" s="57" t="str">
        <f aca="false">IF(AND(BB$7=$I41,ISNUMBER($I41)),"◆","")</f>
        <v/>
      </c>
      <c r="BC41" s="57" t="str">
        <f aca="false">IF(AND(BC$7=$I41,ISNUMBER($I41)),"◆","")</f>
        <v/>
      </c>
      <c r="BD41" s="57" t="str">
        <f aca="false">IF(AND(BD$7=$I41,ISNUMBER($I41)),"◆","")</f>
        <v/>
      </c>
      <c r="BE41" s="57" t="str">
        <f aca="false">IF(AND(BE$7=$I41,ISNUMBER($I41)),"◆","")</f>
        <v/>
      </c>
      <c r="BF41" s="57" t="str">
        <f aca="false">IF(AND(BF$7=$I41,ISNUMBER($I41)),"◆","")</f>
        <v/>
      </c>
      <c r="BG41" s="57" t="str">
        <f aca="false">IF(AND(BG$7=$I41,ISNUMBER($I41)),"◆","")</f>
        <v/>
      </c>
      <c r="BH41" s="57" t="str">
        <f aca="false">IF(AND(BH$7=$I41,ISNUMBER($I41)),"◆","")</f>
        <v/>
      </c>
      <c r="BI41" s="57" t="str">
        <f aca="false">IF(AND(BI$7=$I41,ISNUMBER($I41)),"◆","")</f>
        <v/>
      </c>
      <c r="BJ41" s="57" t="str">
        <f aca="false">IF(AND(BJ$7=$I41,ISNUMBER($I41)),"◆","")</f>
        <v/>
      </c>
      <c r="BK41" s="57" t="str">
        <f aca="false">IF(AND(BK$7=$I41,ISNUMBER($I41)),"◆","")</f>
        <v/>
      </c>
      <c r="BL41" s="57" t="str">
        <f aca="false">IF(AND(BL$7=$I41,ISNUMBER($I41)),"◆","")</f>
        <v/>
      </c>
      <c r="BM41" s="57" t="str">
        <f aca="false">IF(AND(BM$7=$I41,ISNUMBER($I41)),"◆","")</f>
        <v/>
      </c>
      <c r="BN41" s="57" t="str">
        <f aca="false">IF(AND(BN$7=$I41,ISNUMBER($I41)),"◆","")</f>
        <v/>
      </c>
      <c r="BO41" s="57" t="str">
        <f aca="false">IF(AND(BO$7=$I41,ISNUMBER($I41)),"◆","")</f>
        <v/>
      </c>
      <c r="BP41" s="57" t="str">
        <f aca="false">IF(AND(BP$7=$I41,ISNUMBER($I41)),"◆","")</f>
        <v/>
      </c>
      <c r="BQ41" s="57" t="str">
        <f aca="false">IF(AND(BQ$7=$I41,ISNUMBER($I41)),"◆","")</f>
        <v/>
      </c>
      <c r="BR41" s="57" t="str">
        <f aca="false">IF(AND(BR$7=$I41,ISNUMBER($I41)),"◆","")</f>
        <v/>
      </c>
      <c r="BS41" s="57" t="str">
        <f aca="false">IF(AND(BS$7=$I41,ISNUMBER($I41)),"◆","")</f>
        <v/>
      </c>
      <c r="BT41" s="57" t="str">
        <f aca="false">IF(AND(BT$7=$I41,ISNUMBER($I41)),"◆","")</f>
        <v/>
      </c>
      <c r="BU41" s="57" t="str">
        <f aca="false">IF(AND(BU$7=$I41,ISNUMBER($I41)),"◆","")</f>
        <v/>
      </c>
      <c r="BV41" s="57" t="str">
        <f aca="false">IF(AND(BV$7=$I41,ISNUMBER($I41)),"◆","")</f>
        <v/>
      </c>
      <c r="BW41" s="57" t="str">
        <f aca="false">IF(AND(BW$7=$I41,ISNUMBER($I41)),"◆","")</f>
        <v/>
      </c>
      <c r="BX41" s="57" t="str">
        <f aca="false">IF(AND(BX$7=$I41,ISNUMBER($I41)),"◆","")</f>
        <v/>
      </c>
      <c r="BY41" s="57" t="str">
        <f aca="false">IF(AND(BY$7=$I41,ISNUMBER($I41)),"◆","")</f>
        <v/>
      </c>
      <c r="BZ41" s="57" t="str">
        <f aca="false">IF(AND(BZ$7=$I41,ISNUMBER($I41)),"◆","")</f>
        <v/>
      </c>
      <c r="CA41" s="57" t="str">
        <f aca="false">IF(AND(CA$7=$I41,ISNUMBER($I41)),"◆","")</f>
        <v/>
      </c>
      <c r="CB41" s="57" t="str">
        <f aca="false">IF(AND(CB$7=$I41,ISNUMBER($I41)),"◆","")</f>
        <v/>
      </c>
      <c r="CC41" s="57" t="str">
        <f aca="false">IF(AND(CC$7=$I41,ISNUMBER($I41)),"◆","")</f>
        <v/>
      </c>
      <c r="CD41" s="57" t="str">
        <f aca="false">IF(AND(CD$7=$I41,ISNUMBER($I41)),"◆","")</f>
        <v/>
      </c>
      <c r="CE41" s="57" t="str">
        <f aca="false">IF(AND(CE$7=$I41,ISNUMBER($I41)),"◆","")</f>
        <v/>
      </c>
      <c r="CF41" s="57" t="str">
        <f aca="false">IF(AND(CF$7=$I41,ISNUMBER($I41)),"◆","")</f>
        <v/>
      </c>
      <c r="CG41" s="57" t="str">
        <f aca="false">IF(AND(CG$7=$I41,ISNUMBER($I41)),"◆","")</f>
        <v/>
      </c>
      <c r="CH41" s="57" t="str">
        <f aca="false">IF(AND(CH$7=$I41,ISNUMBER($I41)),"◆","")</f>
        <v/>
      </c>
      <c r="CI41" s="57" t="str">
        <f aca="false">IF(AND(CI$7=$I41,ISNUMBER($I41)),"◆","")</f>
        <v/>
      </c>
      <c r="CJ41" s="57" t="str">
        <f aca="false">IF(AND(CJ$7=$I41,ISNUMBER($I41)),"◆","")</f>
        <v/>
      </c>
      <c r="CK41" s="57" t="str">
        <f aca="false">IF(AND(CK$7=$I41,ISNUMBER($I41)),"◆","")</f>
        <v/>
      </c>
      <c r="CL41" s="57" t="str">
        <f aca="false">IF(AND(CL$7=$I41,ISNUMBER($I41)),"◆","")</f>
        <v/>
      </c>
      <c r="CM41" s="57" t="str">
        <f aca="false">IF(AND(CM$7=$I41,ISNUMBER($I41)),"◆","")</f>
        <v/>
      </c>
      <c r="CN41" s="57" t="str">
        <f aca="false">IF(AND(CN$7=$I41,ISNUMBER($I41)),"◆","")</f>
        <v/>
      </c>
      <c r="CO41" s="57" t="str">
        <f aca="false">IF(AND(CO$7=$I41,ISNUMBER($I41)),"◆","")</f>
        <v/>
      </c>
      <c r="CP41" s="57" t="str">
        <f aca="false">IF(AND(CP$7=$I41,ISNUMBER($I41)),"◆","")</f>
        <v/>
      </c>
      <c r="CQ41" s="57" t="str">
        <f aca="false">IF(AND(CQ$7=$I41,ISNUMBER($I41)),"◆","")</f>
        <v/>
      </c>
      <c r="CR41" s="57" t="str">
        <f aca="false">IF(AND(CR$7=$I41,ISNUMBER($I41)),"◆","")</f>
        <v/>
      </c>
      <c r="CS41" s="57" t="str">
        <f aca="false">IF(AND(CS$7=$I41,ISNUMBER($I41)),"◆","")</f>
        <v/>
      </c>
      <c r="CT41" s="57" t="str">
        <f aca="false">IF(AND(CT$7=$I41,ISNUMBER($I41)),"◆","")</f>
        <v/>
      </c>
      <c r="CU41" s="57" t="str">
        <f aca="false">IF(AND(CU$7=$I41,ISNUMBER($I41)),"◆","")</f>
        <v/>
      </c>
      <c r="CV41" s="57" t="str">
        <f aca="false">IF(AND(CV$7=$I41,ISNUMBER($I41)),"◆","")</f>
        <v/>
      </c>
      <c r="CW41" s="57" t="str">
        <f aca="false">IF(AND(CW$7=$I41,ISNUMBER($I41)),"◆","")</f>
        <v/>
      </c>
      <c r="CX41" s="57" t="str">
        <f aca="false">IF(AND(CX$7=$I41,ISNUMBER($I41)),"◆","")</f>
        <v/>
      </c>
      <c r="CY41" s="57" t="str">
        <f aca="false">IF(AND(CY$7=$I41,ISNUMBER($I41)),"◆","")</f>
        <v/>
      </c>
      <c r="CZ41" s="57" t="str">
        <f aca="false">IF(AND(CZ$7=$I41,ISNUMBER($I41)),"◆","")</f>
        <v/>
      </c>
      <c r="DA41" s="57" t="str">
        <f aca="false">IF(AND(DA$7=$I41,ISNUMBER($I41)),"◆","")</f>
        <v/>
      </c>
      <c r="DB41" s="57" t="str">
        <f aca="false">IF(AND(DB$7=$I41,ISNUMBER($I41)),"◆","")</f>
        <v/>
      </c>
      <c r="DC41" s="57" t="str">
        <f aca="false">IF(AND(DC$7=$I41,ISNUMBER($I41)),"◆","")</f>
        <v/>
      </c>
      <c r="DD41" s="57" t="str">
        <f aca="false">IF(AND(DD$7=$I41,ISNUMBER($I41)),"◆","")</f>
        <v/>
      </c>
      <c r="DE41" s="57" t="str">
        <f aca="false">IF(AND(DE$7=$I41,ISNUMBER($I41)),"◆","")</f>
        <v/>
      </c>
      <c r="DF41" s="57" t="str">
        <f aca="false">IF(AND(DF$7=$I41,ISNUMBER($I41)),"◆","")</f>
        <v/>
      </c>
      <c r="DG41" s="57" t="str">
        <f aca="false">IF(AND(DG$7=$I41,ISNUMBER($I41)),"◆","")</f>
        <v/>
      </c>
      <c r="DH41" s="57" t="str">
        <f aca="false">IF(AND(DH$7=$I41,ISNUMBER($I41)),"◆","")</f>
        <v/>
      </c>
      <c r="DI41" s="57" t="str">
        <f aca="false">IF(AND(DI$7=$I41,ISNUMBER($I41)),"◆","")</f>
        <v/>
      </c>
      <c r="DJ41" s="57" t="str">
        <f aca="false">IF(AND(DJ$7=$I41,ISNUMBER($I41)),"◆","")</f>
        <v/>
      </c>
      <c r="DK41" s="57" t="str">
        <f aca="false">IF(AND(DK$7=$I41,ISNUMBER($I41)),"◆","")</f>
        <v/>
      </c>
      <c r="DL41" s="57" t="str">
        <f aca="false">IF(AND(DL$7=$I41,ISNUMBER($I41)),"◆","")</f>
        <v/>
      </c>
      <c r="DM41" s="57" t="str">
        <f aca="false">IF(AND(DM$7=$I41,ISNUMBER($I41)),"◆","")</f>
        <v/>
      </c>
      <c r="DN41" s="57" t="str">
        <f aca="false">IF(AND(DN$7=$I41,ISNUMBER($I41)),"◆","")</f>
        <v/>
      </c>
      <c r="DO41" s="57" t="str">
        <f aca="false">IF(AND(DO$7=$I41,ISNUMBER($I41)),"◆","")</f>
        <v/>
      </c>
      <c r="DP41" s="57" t="str">
        <f aca="false">IF(AND(DP$7=$I41,ISNUMBER($I41)),"◆","")</f>
        <v/>
      </c>
      <c r="DQ41" s="57" t="str">
        <f aca="false">IF(AND(DQ$7=$I41,ISNUMBER($I41)),"◆","")</f>
        <v/>
      </c>
      <c r="DR41" s="57" t="str">
        <f aca="false">IF(AND(DR$7=$I41,ISNUMBER($I41)),"◆","")</f>
        <v/>
      </c>
      <c r="DS41" s="57" t="str">
        <f aca="false">IF(AND(DS$7=$I41,ISNUMBER($I41)),"◆","")</f>
        <v/>
      </c>
      <c r="DT41" s="57" t="str">
        <f aca="false">IF(AND(DT$7=$I41,ISNUMBER($I41)),"◆","")</f>
        <v/>
      </c>
      <c r="DU41" s="57" t="str">
        <f aca="false">IF(AND(DU$7=$I41,ISNUMBER($I41)),"◆","")</f>
        <v/>
      </c>
      <c r="DV41" s="57" t="str">
        <f aca="false">IF(AND(DV$7=$I41,ISNUMBER($I41)),"◆","")</f>
        <v/>
      </c>
      <c r="DW41" s="57" t="str">
        <f aca="false">IF(AND(DW$7=$I41,ISNUMBER($I41)),"◆","")</f>
        <v/>
      </c>
      <c r="DX41" s="57" t="str">
        <f aca="false">IF(AND(DX$7=$I41,ISNUMBER($I41)),"◆","")</f>
        <v/>
      </c>
      <c r="DY41" s="57" t="str">
        <f aca="false">IF(AND(DY$7=$I41,ISNUMBER($I41)),"◆","")</f>
        <v/>
      </c>
      <c r="DZ41" s="57" t="str">
        <f aca="false">IF(AND(DZ$7=$I41,ISNUMBER($I41)),"◆","")</f>
        <v/>
      </c>
      <c r="EA41" s="57" t="str">
        <f aca="false">IF(AND(EA$7=$I41,ISNUMBER($I41)),"◆","")</f>
        <v/>
      </c>
      <c r="EB41" s="57" t="str">
        <f aca="false">IF(AND(EB$7=$I41,ISNUMBER($I41)),"◆","")</f>
        <v/>
      </c>
      <c r="EC41" s="57" t="str">
        <f aca="false">IF(AND(EC$7=$I41,ISNUMBER($I41)),"◆","")</f>
        <v/>
      </c>
      <c r="ED41" s="57" t="str">
        <f aca="false">IF(AND(ED$7=$I41,ISNUMBER($I41)),"◆","")</f>
        <v/>
      </c>
      <c r="EE41" s="57" t="str">
        <f aca="false">IF(AND(EE$7=$I41,ISNUMBER($I41)),"◆","")</f>
        <v/>
      </c>
      <c r="EF41" s="57" t="str">
        <f aca="false">IF(AND(EF$7=$I41,ISNUMBER($I41)),"◆","")</f>
        <v/>
      </c>
      <c r="EG41" s="57" t="str">
        <f aca="false">IF(AND(EG$7=$I41,ISNUMBER($I41)),"◆","")</f>
        <v/>
      </c>
      <c r="EH41" s="57" t="str">
        <f aca="false">IF(AND(EH$7=$I41,ISNUMBER($I41)),"◆","")</f>
        <v/>
      </c>
      <c r="EI41" s="57" t="str">
        <f aca="false">IF(AND(EI$7=$I41,ISNUMBER($I41)),"◆","")</f>
        <v/>
      </c>
      <c r="EJ41" s="57" t="str">
        <f aca="false">IF(AND(EJ$7=$I41,ISNUMBER($I41)),"◆","")</f>
        <v/>
      </c>
      <c r="EK41" s="57" t="str">
        <f aca="false">IF(AND(EK$7=$I41,ISNUMBER($I41)),"◆","")</f>
        <v/>
      </c>
      <c r="EL41" s="57" t="str">
        <f aca="false">IF(AND(EL$7=$I41,ISNUMBER($I41)),"◆","")</f>
        <v/>
      </c>
      <c r="EM41" s="57" t="str">
        <f aca="false">IF(AND(EM$7=$I41,ISNUMBER($I41)),"◆","")</f>
        <v/>
      </c>
      <c r="EN41" s="57" t="str">
        <f aca="false">IF(AND(EN$7=$I41,ISNUMBER($I41)),"◆","")</f>
        <v/>
      </c>
      <c r="EO41" s="57" t="str">
        <f aca="false">IF(AND(EO$7=$I41,ISNUMBER($I41)),"◆","")</f>
        <v/>
      </c>
      <c r="EP41" s="57" t="str">
        <f aca="false">IF(AND(EP$7=$I41,ISNUMBER($I41)),"◆","")</f>
        <v/>
      </c>
      <c r="EQ41" s="57" t="str">
        <f aca="false">IF(AND(EQ$7=$I41,ISNUMBER($I41)),"◆","")</f>
        <v/>
      </c>
      <c r="ER41" s="57" t="str">
        <f aca="false">IF(AND(ER$7=$I41,ISNUMBER($I41)),"◆","")</f>
        <v/>
      </c>
      <c r="ES41" s="57" t="str">
        <f aca="false">IF(AND(ES$7=$I41,ISNUMBER($I41)),"◆","")</f>
        <v/>
      </c>
      <c r="ET41" s="57" t="str">
        <f aca="false">IF(AND(ET$7=$I41,ISNUMBER($I41)),"◆","")</f>
        <v/>
      </c>
      <c r="EU41" s="57" t="str">
        <f aca="false">IF(AND(EU$7=$I41,ISNUMBER($I41)),"◆","")</f>
        <v/>
      </c>
      <c r="EV41" s="57" t="str">
        <f aca="false">IF(AND(EV$7=$I41,ISNUMBER($I41)),"◆","")</f>
        <v/>
      </c>
      <c r="EW41" s="57" t="str">
        <f aca="false">IF(AND(EW$7=$I41,ISNUMBER($I41)),"◆","")</f>
        <v/>
      </c>
      <c r="EX41" s="57" t="str">
        <f aca="false">IF(AND(EX$7=$I41,ISNUMBER($I41)),"◆","")</f>
        <v/>
      </c>
      <c r="EY41" s="57" t="str">
        <f aca="false">IF(AND(EY$7=$I41,ISNUMBER($I41)),"◆","")</f>
        <v/>
      </c>
      <c r="EZ41" s="57" t="str">
        <f aca="false">IF(AND(EZ$7=$I41,ISNUMBER($I41)),"◆","")</f>
        <v/>
      </c>
      <c r="FA41" s="57" t="str">
        <f aca="false">IF(AND(FA$7=$I41,ISNUMBER($I41)),"◆","")</f>
        <v/>
      </c>
      <c r="FB41" s="57" t="str">
        <f aca="false">IF(AND(FB$7=$I41,ISNUMBER($I41)),"◆","")</f>
        <v/>
      </c>
      <c r="FC41" s="57" t="str">
        <f aca="false">IF(AND(FC$7=$I41,ISNUMBER($I41)),"◆","")</f>
        <v/>
      </c>
      <c r="FD41" s="57" t="str">
        <f aca="false">IF(AND(FD$7=$I41,ISNUMBER($I41)),"◆","")</f>
        <v/>
      </c>
      <c r="FE41" s="57" t="str">
        <f aca="false">IF(AND(FE$7=$I41,ISNUMBER($I41)),"◆","")</f>
        <v/>
      </c>
      <c r="FF41" s="57" t="str">
        <f aca="false">IF(AND(FF$7=$I41,ISNUMBER($I41)),"◆","")</f>
        <v/>
      </c>
      <c r="FG41" s="57" t="str">
        <f aca="false">IF(AND(FG$7=$I41,ISNUMBER($I41)),"◆","")</f>
        <v/>
      </c>
      <c r="FH41" s="57" t="str">
        <f aca="false">IF(AND(FH$7=$I41,ISNUMBER($I41)),"◆","")</f>
        <v/>
      </c>
      <c r="FI41" s="57" t="str">
        <f aca="false">IF(AND(FI$7=$I41,ISNUMBER($I41)),"◆","")</f>
        <v/>
      </c>
      <c r="FJ41" s="57" t="str">
        <f aca="false">IF(AND(FJ$7=$I41,ISNUMBER($I41)),"◆","")</f>
        <v/>
      </c>
      <c r="FK41" s="57" t="str">
        <f aca="false">IF(AND(FK$7=$I41,ISNUMBER($I41)),"◆","")</f>
        <v/>
      </c>
      <c r="FL41" s="57" t="str">
        <f aca="false">IF(AND(FL$7=$I41,ISNUMBER($I41)),"◆","")</f>
        <v/>
      </c>
      <c r="FM41" s="57" t="str">
        <f aca="false">IF(AND(FM$7=$I41,ISNUMBER($I41)),"◆","")</f>
        <v/>
      </c>
      <c r="FN41" s="57" t="str">
        <f aca="false">IF(AND(FN$7=$I41,ISNUMBER($I41)),"◆","")</f>
        <v/>
      </c>
      <c r="FO41" s="57" t="str">
        <f aca="false">IF(AND(FO$7=$I41,ISNUMBER($I41)),"◆","")</f>
        <v/>
      </c>
      <c r="FP41" s="57" t="str">
        <f aca="false">IF(AND(FP$7=$I41,ISNUMBER($I41)),"◆","")</f>
        <v/>
      </c>
      <c r="FQ41" s="57" t="str">
        <f aca="false">IF(AND(FQ$7=$I41,ISNUMBER($I41)),"◆","")</f>
        <v/>
      </c>
      <c r="FR41" s="57" t="str">
        <f aca="false">IF(AND(FR$7=$I41,ISNUMBER($I41)),"◆","")</f>
        <v/>
      </c>
      <c r="FS41" s="57" t="str">
        <f aca="false">IF(AND(FS$7=$I41,ISNUMBER($I41)),"◆","")</f>
        <v/>
      </c>
      <c r="FT41" s="57" t="str">
        <f aca="false">IF(AND(FT$7=$I41,ISNUMBER($I41)),"◆","")</f>
        <v/>
      </c>
      <c r="FU41" s="57" t="str">
        <f aca="false">IF(AND(FU$7=$I41,ISNUMBER($I41)),"◆","")</f>
        <v/>
      </c>
      <c r="FV41" s="57" t="str">
        <f aca="false">IF(AND(FV$7=$I41,ISNUMBER($I41)),"◆","")</f>
        <v/>
      </c>
    </row>
    <row r="43" customFormat="false" ht="15" hidden="false" customHeight="true" outlineLevel="0" collapsed="false">
      <c r="A43" s="58" t="s">
        <v>82</v>
      </c>
    </row>
    <row r="44" customFormat="false" ht="15" hidden="false" customHeight="true" outlineLevel="0" collapsed="false">
      <c r="A44" s="59" t="s">
        <v>83</v>
      </c>
    </row>
    <row r="45" customFormat="false" ht="15" hidden="false" customHeight="true" outlineLevel="0" collapsed="false">
      <c r="A45" s="59" t="s">
        <v>84</v>
      </c>
    </row>
    <row r="46" customFormat="false" ht="15" hidden="false" customHeight="true" outlineLevel="0" collapsed="false">
      <c r="A46" s="59" t="s">
        <v>85</v>
      </c>
    </row>
    <row r="47" customFormat="false" ht="15" hidden="false" customHeight="true" outlineLevel="0" collapsed="false">
      <c r="A47" s="59" t="s">
        <v>86</v>
      </c>
    </row>
  </sheetData>
  <mergeCells count="45">
    <mergeCell ref="A4:B4"/>
    <mergeCell ref="C4:D4"/>
    <mergeCell ref="E4:F4"/>
    <mergeCell ref="G4:H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Q6"/>
    <mergeCell ref="R6:X6"/>
    <mergeCell ref="Y6:AE6"/>
    <mergeCell ref="AF6:AL6"/>
    <mergeCell ref="AM6:AS6"/>
    <mergeCell ref="AT6:AZ6"/>
    <mergeCell ref="BA6:BG6"/>
    <mergeCell ref="BH6:BN6"/>
    <mergeCell ref="BO6:BU6"/>
    <mergeCell ref="BV6:CB6"/>
    <mergeCell ref="CC6:CI6"/>
    <mergeCell ref="CJ6:CP6"/>
    <mergeCell ref="CQ6:CW6"/>
    <mergeCell ref="CX6:DD6"/>
    <mergeCell ref="DE6:DK6"/>
    <mergeCell ref="DL6:DR6"/>
    <mergeCell ref="DS6:DY6"/>
    <mergeCell ref="DZ6:EF6"/>
    <mergeCell ref="EG6:EM6"/>
    <mergeCell ref="EN6:ET6"/>
    <mergeCell ref="EU6:FA6"/>
    <mergeCell ref="FB6:FH6"/>
    <mergeCell ref="FI6:FO6"/>
    <mergeCell ref="FP6:FV6"/>
    <mergeCell ref="A9:J9"/>
    <mergeCell ref="A10:E10"/>
    <mergeCell ref="A17:E17"/>
    <mergeCell ref="A21:E21"/>
    <mergeCell ref="A26:E26"/>
    <mergeCell ref="A32:E32"/>
    <mergeCell ref="A36:E36"/>
  </mergeCells>
  <conditionalFormatting sqref="K10:FV41">
    <cfRule type="expression" priority="2" aboveAverage="0" equalAverage="0" bottom="0" percent="0" rank="0" text="" dxfId="0">
      <formula>AND(K$7=TODAY(),NOT(AND(K$7&gt;=$G10,K$7&lt;=$H10)))</formula>
    </cfRule>
    <cfRule type="expression" priority="3" aboveAverage="0" equalAverage="0" bottom="0" percent="0" rank="0" text="" dxfId="1">
      <formula>AND($F10="G",AND(K$7&gt;=$G10,K$7&lt;=$H10))</formula>
    </cfRule>
    <cfRule type="expression" priority="4" aboveAverage="0" equalAverage="0" bottom="0" percent="0" rank="0" text="" dxfId="2">
      <formula>AND($F10="撮影",AND(K$7&gt;=$G10,K$7&lt;=$H10))</formula>
    </cfRule>
    <cfRule type="expression" priority="5" aboveAverage="0" equalAverage="0" bottom="0" percent="0" rank="0" text="" dxfId="3">
      <formula>AND($F10="企業",AND(K$7&gt;=$G10,K$7&lt;=$H10))</formula>
    </cfRule>
    <cfRule type="expression" priority="6" aboveAverage="0" equalAverage="0" bottom="0" percent="0" rank="0" text="" dxfId="4">
      <formula>AND($F10="制作",AND(K$7&gt;=$G10,K$7&lt;=$H10))</formula>
    </cfRule>
    <cfRule type="expression" priority="7" aboveAverage="0" equalAverage="0" bottom="0" percent="0" rank="0" text="" dxfId="5">
      <formula>AND($F10&lt;&gt;"G",ISNUMBER($I10),K$7&gt;$H10,K$7&lt;=$I10)</formula>
    </cfRule>
    <cfRule type="expression" priority="8" aboveAverage="0" equalAverage="0" bottom="0" percent="0" rank="0" text="" dxfId="6">
      <formula>OR(WEEKDAY(K$7,2)&gt;5,COUNTIF(制作工程表!$AL$9:$AL$40,K$7)&gt;0)</formula>
    </cfRule>
  </conditionalFormatting>
  <conditionalFormatting sqref="K7:FV8">
    <cfRule type="expression" priority="9" aboveAverage="0" equalAverage="0" bottom="0" percent="0" rank="0" text="" dxfId="7">
      <formula>K$7=TODAY()</formula>
    </cfRule>
    <cfRule type="expression" priority="10" aboveAverage="0" equalAverage="0" bottom="0" percent="0" rank="0" text="" dxfId="8">
      <formula>WEEKDAY(K$7,2)&gt;5</formula>
    </cfRule>
  </conditionalFormatting>
  <conditionalFormatting sqref="J10:J41">
    <cfRule type="cellIs" priority="11" operator="equal" aboveAverage="0" equalAverage="0" bottom="0" percent="0" rank="0" text="" dxfId="9">
      <formula>"未着手"</formula>
    </cfRule>
    <cfRule type="cellIs" priority="12" operator="equal" aboveAverage="0" equalAverage="0" bottom="0" percent="0" rank="0" text="" dxfId="10">
      <formula>"進行中"</formula>
    </cfRule>
    <cfRule type="cellIs" priority="13" operator="equal" aboveAverage="0" equalAverage="0" bottom="0" percent="0" rank="0" text="" dxfId="11">
      <formula>"確認待ち"</formula>
    </cfRule>
    <cfRule type="cellIs" priority="14" operator="equal" aboveAverage="0" equalAverage="0" bottom="0" percent="0" rank="0" text="" dxfId="12">
      <formula>"完了"</formula>
    </cfRule>
    <cfRule type="cellIs" priority="15" operator="equal" aboveAverage="0" equalAverage="0" bottom="0" percent="0" rank="0" text="" dxfId="13">
      <formula>"要調整"</formula>
    </cfRule>
  </conditionalFormatting>
  <conditionalFormatting sqref="F10:F41">
    <cfRule type="cellIs" priority="16" operator="equal" aboveAverage="0" equalAverage="0" bottom="0" percent="0" rank="0" text="" dxfId="14">
      <formula>"企業"</formula>
    </cfRule>
    <cfRule type="cellIs" priority="17" operator="equal" aboveAverage="0" equalAverage="0" bottom="0" percent="0" rank="0" text="" dxfId="15">
      <formula>"撮影"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740"/>
    <pageSetUpPr fitToPage="true"/>
  </sheetPr>
  <dimension ref="A1:AM34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19"/>
    <col collapsed="false" customWidth="true" hidden="false" outlineLevel="0" max="3" min="3" style="1" width="30"/>
    <col collapsed="false" customWidth="true" hidden="false" outlineLevel="0" max="5" min="4" style="1" width="19.38"/>
    <col collapsed="false" customWidth="true" hidden="false" outlineLevel="0" max="6" min="6" style="1" width="31.88"/>
    <col collapsed="false" customWidth="true" hidden="false" outlineLevel="0" max="7" min="7" style="1" width="12.5"/>
    <col collapsed="false" customWidth="true" hidden="false" outlineLevel="0" max="8" min="8" style="1" width="13"/>
    <col collapsed="false" customWidth="true" hidden="false" outlineLevel="0" max="9" min="9" style="1" width="12.5"/>
    <col collapsed="false" customWidth="true" hidden="false" outlineLevel="0" max="10" min="10" style="1" width="13.13"/>
    <col collapsed="false" customWidth="true" hidden="false" outlineLevel="0" max="11" min="11" style="1" width="11.25"/>
    <col collapsed="false" customWidth="true" hidden="false" outlineLevel="0" max="12" min="12" style="1" width="9.75"/>
    <col collapsed="false" customWidth="true" hidden="false" outlineLevel="0" max="24" min="13" style="1" width="8.5"/>
    <col collapsed="false" customWidth="true" hidden="false" outlineLevel="0" max="25" min="25" style="0" width="8.5"/>
    <col collapsed="false" customWidth="true" hidden="false" outlineLevel="0" max="27" min="26" style="1" width="8.5"/>
    <col collapsed="false" customWidth="true" hidden="false" outlineLevel="0" max="36" min="28" style="0" width="8.5"/>
    <col collapsed="false" customWidth="true" hidden="false" outlineLevel="0" max="37" min="37" style="0" width="3"/>
    <col collapsed="false" customWidth="true" hidden="false" outlineLevel="0" max="38" min="38" style="0" width="16"/>
    <col collapsed="false" customWidth="true" hidden="false" outlineLevel="0" max="39" min="39" style="0" width="22"/>
  </cols>
  <sheetData>
    <row r="1" customFormat="false" ht="6" hidden="false" customHeight="true" outlineLevel="0" collapsed="false">
      <c r="A1" s="60"/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customFormat="false" ht="36" hidden="false" customHeight="true" outlineLevel="0" collapsed="false">
      <c r="A2" s="29" t="s">
        <v>87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customFormat="false" ht="18" hidden="false" customHeight="true" outlineLevel="0" collapsed="false">
      <c r="A3" s="62" t="s">
        <v>88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</row>
    <row r="4" customFormat="false" ht="25.5" hidden="false" customHeight="true" outlineLevel="0" collapsed="false">
      <c r="A4" s="64" t="s">
        <v>89</v>
      </c>
      <c r="B4" s="65" t="n">
        <v>46328</v>
      </c>
      <c r="C4" s="61"/>
      <c r="D4" s="64" t="s">
        <v>90</v>
      </c>
      <c r="E4" s="66" t="n">
        <f aca="false">G18</f>
        <v>46393</v>
      </c>
      <c r="F4" s="61"/>
      <c r="G4" s="64" t="s">
        <v>91</v>
      </c>
      <c r="H4" s="66" t="n">
        <f aca="false">G19</f>
        <v>46394</v>
      </c>
      <c r="I4" s="61"/>
      <c r="J4" s="64" t="s">
        <v>92</v>
      </c>
      <c r="K4" s="66" t="n">
        <f aca="false">G20</f>
        <v>46400</v>
      </c>
      <c r="L4" s="61"/>
      <c r="M4" s="61"/>
      <c r="N4" s="61"/>
      <c r="O4" s="61"/>
      <c r="P4" s="61"/>
      <c r="Q4" s="61"/>
      <c r="R4" s="61"/>
      <c r="S4" s="61"/>
      <c r="T4" s="61"/>
    </row>
    <row r="5" customFormat="false" ht="24.75" hidden="false" customHeight="true" outlineLevel="0" collapsed="false">
      <c r="A5" s="67" t="s">
        <v>93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</row>
    <row r="6" customFormat="false" ht="24.75" hidden="false" customHeight="true" outlineLevel="0" collapsed="false">
      <c r="A6" s="67" t="s">
        <v>94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</row>
    <row r="7" customFormat="false" ht="15" hidden="false" customHeight="true" outlineLevel="0" collapsed="false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8" t="n">
        <f aca="false">$B$4+0</f>
        <v>46328</v>
      </c>
      <c r="N7" s="68" t="n">
        <f aca="false">$B$4+7</f>
        <v>46335</v>
      </c>
      <c r="O7" s="68" t="n">
        <f aca="false">$B$4+14</f>
        <v>46342</v>
      </c>
      <c r="P7" s="68" t="n">
        <f aca="false">$B$4+21</f>
        <v>46349</v>
      </c>
      <c r="Q7" s="68" t="n">
        <f aca="false">$B$4+28</f>
        <v>46356</v>
      </c>
      <c r="R7" s="68" t="n">
        <f aca="false">$B$4+35</f>
        <v>46363</v>
      </c>
      <c r="S7" s="68" t="n">
        <f aca="false">$B$4+42</f>
        <v>46370</v>
      </c>
      <c r="T7" s="68" t="n">
        <f aca="false">$B$4+49</f>
        <v>46377</v>
      </c>
      <c r="U7" s="68" t="n">
        <f aca="false">$B$4+56</f>
        <v>46384</v>
      </c>
      <c r="V7" s="68" t="n">
        <f aca="false">$B$4+63</f>
        <v>46391</v>
      </c>
      <c r="W7" s="68" t="n">
        <f aca="false">$B$4+70</f>
        <v>46398</v>
      </c>
      <c r="X7" s="68" t="n">
        <f aca="false">$B$4+77</f>
        <v>46405</v>
      </c>
      <c r="Y7" s="68" t="n">
        <f aca="false">$B$4+84</f>
        <v>46412</v>
      </c>
      <c r="Z7" s="68" t="n">
        <f aca="false">$B$4+91</f>
        <v>46419</v>
      </c>
      <c r="AA7" s="68" t="n">
        <f aca="false">$B$4+98</f>
        <v>46426</v>
      </c>
      <c r="AB7" s="68" t="n">
        <f aca="false">$B$4+105</f>
        <v>46433</v>
      </c>
      <c r="AC7" s="68" t="n">
        <f aca="false">$B$4+112</f>
        <v>46440</v>
      </c>
      <c r="AD7" s="68" t="n">
        <f aca="false">$B$4+119</f>
        <v>46447</v>
      </c>
      <c r="AE7" s="68" t="n">
        <f aca="false">$B$4+126</f>
        <v>46454</v>
      </c>
      <c r="AF7" s="68" t="n">
        <f aca="false">$B$4+133</f>
        <v>46461</v>
      </c>
      <c r="AG7" s="68" t="n">
        <f aca="false">$B$4+140</f>
        <v>46468</v>
      </c>
      <c r="AH7" s="68" t="n">
        <f aca="false">$B$4+147</f>
        <v>46475</v>
      </c>
      <c r="AI7" s="68" t="n">
        <f aca="false">$B$4+154</f>
        <v>46482</v>
      </c>
      <c r="AJ7" s="68" t="n">
        <f aca="false">$B$4+161</f>
        <v>46489</v>
      </c>
    </row>
    <row r="8" customFormat="false" ht="33.75" hidden="false" customHeight="true" outlineLevel="0" collapsed="false">
      <c r="A8" s="69" t="s">
        <v>67</v>
      </c>
      <c r="B8" s="10" t="s">
        <v>68</v>
      </c>
      <c r="C8" s="10" t="s">
        <v>69</v>
      </c>
      <c r="D8" s="10" t="s">
        <v>95</v>
      </c>
      <c r="E8" s="10" t="s">
        <v>96</v>
      </c>
      <c r="F8" s="10" t="s">
        <v>97</v>
      </c>
      <c r="G8" s="10" t="s">
        <v>98</v>
      </c>
      <c r="H8" s="10" t="s">
        <v>99</v>
      </c>
      <c r="I8" s="10" t="s">
        <v>74</v>
      </c>
      <c r="J8" s="10" t="s">
        <v>100</v>
      </c>
      <c r="K8" s="10" t="s">
        <v>101</v>
      </c>
      <c r="L8" s="10" t="s">
        <v>102</v>
      </c>
      <c r="M8" s="69" t="s">
        <v>103</v>
      </c>
      <c r="N8" s="69" t="s">
        <v>104</v>
      </c>
      <c r="O8" s="69" t="s">
        <v>105</v>
      </c>
      <c r="P8" s="69" t="s">
        <v>106</v>
      </c>
      <c r="Q8" s="69" t="s">
        <v>107</v>
      </c>
      <c r="R8" s="69" t="s">
        <v>108</v>
      </c>
      <c r="S8" s="69" t="s">
        <v>109</v>
      </c>
      <c r="T8" s="69" t="s">
        <v>110</v>
      </c>
      <c r="U8" s="69" t="s">
        <v>111</v>
      </c>
      <c r="V8" s="69" t="s">
        <v>112</v>
      </c>
      <c r="W8" s="69" t="s">
        <v>113</v>
      </c>
      <c r="X8" s="69" t="s">
        <v>114</v>
      </c>
      <c r="Y8" s="69" t="s">
        <v>115</v>
      </c>
      <c r="Z8" s="69" t="s">
        <v>116</v>
      </c>
      <c r="AA8" s="69" t="s">
        <v>117</v>
      </c>
      <c r="AB8" s="69" t="s">
        <v>118</v>
      </c>
      <c r="AC8" s="69" t="s">
        <v>119</v>
      </c>
      <c r="AD8" s="69" t="s">
        <v>120</v>
      </c>
      <c r="AE8" s="69" t="s">
        <v>121</v>
      </c>
      <c r="AF8" s="69" t="s">
        <v>122</v>
      </c>
      <c r="AG8" s="69" t="s">
        <v>123</v>
      </c>
      <c r="AH8" s="69" t="s">
        <v>124</v>
      </c>
      <c r="AI8" s="69" t="s">
        <v>125</v>
      </c>
      <c r="AJ8" s="69" t="s">
        <v>126</v>
      </c>
      <c r="AL8" s="70" t="s">
        <v>127</v>
      </c>
      <c r="AM8" s="70"/>
    </row>
    <row r="9" customFormat="false" ht="39.75" hidden="false" customHeight="true" outlineLevel="0" collapsed="false">
      <c r="A9" s="71" t="s">
        <v>128</v>
      </c>
      <c r="B9" s="72" t="s">
        <v>129</v>
      </c>
      <c r="C9" s="73" t="s">
        <v>130</v>
      </c>
      <c r="D9" s="74" t="s">
        <v>131</v>
      </c>
      <c r="E9" s="74" t="s">
        <v>132</v>
      </c>
      <c r="F9" s="74" t="s">
        <v>133</v>
      </c>
      <c r="G9" s="75" t="n">
        <f aca="false">WORKDAY($B$4-1,1,$AL$9:$AL$40)</f>
        <v>46328</v>
      </c>
      <c r="H9" s="75" t="n">
        <f aca="false">WORKDAY($B$4-1,1,$AL$9:$AL$40)</f>
        <v>46328</v>
      </c>
      <c r="I9" s="75" t="s">
        <v>134</v>
      </c>
      <c r="J9" s="72" t="s">
        <v>135</v>
      </c>
      <c r="K9" s="72" t="s">
        <v>32</v>
      </c>
      <c r="L9" s="72" t="n">
        <f aca="false">NETWORKDAYS(G9,H9,$AL$9:$AL$40)</f>
        <v>1</v>
      </c>
      <c r="M9" s="76" t="str">
        <f aca="false">IF(AND($G9&lt;=M$7+6,$H9&gt;=M$7),"■","")</f>
        <v>■</v>
      </c>
      <c r="N9" s="76" t="str">
        <f aca="false">IF(AND($G9&lt;=N$7+6,$H9&gt;=N$7),"■","")</f>
        <v/>
      </c>
      <c r="O9" s="76" t="str">
        <f aca="false">IF(AND($G9&lt;=O$7+6,$H9&gt;=O$7),"■","")</f>
        <v/>
      </c>
      <c r="P9" s="76" t="str">
        <f aca="false">IF(AND($G9&lt;=P$7+6,$H9&gt;=P$7),"■","")</f>
        <v/>
      </c>
      <c r="Q9" s="76" t="str">
        <f aca="false">IF(AND($G9&lt;=Q$7+6,$H9&gt;=Q$7),"■","")</f>
        <v/>
      </c>
      <c r="R9" s="76" t="str">
        <f aca="false">IF(AND($G9&lt;=R$7+6,$H9&gt;=R$7),"■","")</f>
        <v/>
      </c>
      <c r="S9" s="76" t="str">
        <f aca="false">IF(AND($G9&lt;=S$7+6,$H9&gt;=S$7),"■","")</f>
        <v/>
      </c>
      <c r="T9" s="76" t="str">
        <f aca="false">IF(AND($G9&lt;=T$7+6,$H9&gt;=T$7),"■","")</f>
        <v/>
      </c>
      <c r="U9" s="76" t="str">
        <f aca="false">IF(AND($G9&lt;=U$7+6,$H9&gt;=U$7),"■","")</f>
        <v/>
      </c>
      <c r="V9" s="76" t="str">
        <f aca="false">IF(AND($G9&lt;=V$7+6,$H9&gt;=V$7),"■","")</f>
        <v/>
      </c>
      <c r="W9" s="76" t="str">
        <f aca="false">IF(AND($G9&lt;=W$7+6,$H9&gt;=W$7),"■","")</f>
        <v/>
      </c>
      <c r="X9" s="76" t="str">
        <f aca="false">IF(AND($G9&lt;=X$7+6,$H9&gt;=X$7),"■","")</f>
        <v/>
      </c>
      <c r="Y9" s="76" t="str">
        <f aca="false">IF(AND($G9&lt;=Y$7+6,$H9&gt;=Y$7),"■","")</f>
        <v/>
      </c>
      <c r="Z9" s="76" t="str">
        <f aca="false">IF(AND($G9&lt;=Z$7+6,$H9&gt;=Z$7),"■","")</f>
        <v/>
      </c>
      <c r="AA9" s="76" t="str">
        <f aca="false">IF(AND($G9&lt;=AA$7+6,$H9&gt;=AA$7),"■","")</f>
        <v/>
      </c>
      <c r="AB9" s="76" t="str">
        <f aca="false">IF(AND($G9&lt;=AB$7+6,$H9&gt;=AB$7),"■","")</f>
        <v/>
      </c>
      <c r="AC9" s="76" t="str">
        <f aca="false">IF(AND($G9&lt;=AC$7+6,$H9&gt;=AC$7),"■","")</f>
        <v/>
      </c>
      <c r="AD9" s="76" t="str">
        <f aca="false">IF(AND($G9&lt;=AD$7+6,$H9&gt;=AD$7),"■","")</f>
        <v/>
      </c>
      <c r="AE9" s="76" t="str">
        <f aca="false">IF(AND($G9&lt;=AE$7+6,$H9&gt;=AE$7),"■","")</f>
        <v/>
      </c>
      <c r="AF9" s="76" t="str">
        <f aca="false">IF(AND($G9&lt;=AF$7+6,$H9&gt;=AF$7),"■","")</f>
        <v/>
      </c>
      <c r="AG9" s="76" t="str">
        <f aca="false">IF(AND($G9&lt;=AG$7+6,$H9&gt;=AG$7),"■","")</f>
        <v/>
      </c>
      <c r="AH9" s="76" t="str">
        <f aca="false">IF(AND($G9&lt;=AH$7+6,$H9&gt;=AH$7),"■","")</f>
        <v/>
      </c>
      <c r="AI9" s="76" t="str">
        <f aca="false">IF(AND($G9&lt;=AI$7+6,$H9&gt;=AI$7),"■","")</f>
        <v/>
      </c>
      <c r="AJ9" s="76" t="str">
        <f aca="false">IF(AND($G9&lt;=AJ$7+6,$H9&gt;=AJ$7),"■","")</f>
        <v/>
      </c>
      <c r="AL9" s="77" t="n">
        <v>46329</v>
      </c>
      <c r="AM9" s="78" t="s">
        <v>136</v>
      </c>
    </row>
    <row r="10" customFormat="false" ht="39.75" hidden="false" customHeight="true" outlineLevel="0" collapsed="false">
      <c r="A10" s="79" t="s">
        <v>137</v>
      </c>
      <c r="B10" s="80" t="s">
        <v>129</v>
      </c>
      <c r="C10" s="81" t="s">
        <v>138</v>
      </c>
      <c r="D10" s="82" t="s">
        <v>131</v>
      </c>
      <c r="E10" s="83" t="s">
        <v>134</v>
      </c>
      <c r="F10" s="83" t="s">
        <v>139</v>
      </c>
      <c r="G10" s="75" t="n">
        <f aca="false">WORKDAY($B$4-1,2,$AL$9:$AL$40)</f>
        <v>46330</v>
      </c>
      <c r="H10" s="75" t="n">
        <f aca="false">WORKDAY($B$4-1,8,$AL$9:$AL$40)</f>
        <v>46338</v>
      </c>
      <c r="I10" s="75" t="s">
        <v>134</v>
      </c>
      <c r="J10" s="84" t="s">
        <v>128</v>
      </c>
      <c r="K10" s="80" t="s">
        <v>32</v>
      </c>
      <c r="L10" s="80" t="n">
        <f aca="false">NETWORKDAYS(G10,H10,$AL$9:$AL$40)</f>
        <v>7</v>
      </c>
      <c r="M10" s="85" t="str">
        <f aca="false">IF(AND($G10&lt;=M$7+6,$H10&gt;=M$7),"■","")</f>
        <v>■</v>
      </c>
      <c r="N10" s="85" t="str">
        <f aca="false">IF(AND($G10&lt;=N$7+6,$H10&gt;=N$7),"■","")</f>
        <v>■</v>
      </c>
      <c r="O10" s="85" t="str">
        <f aca="false">IF(AND($G10&lt;=O$7+6,$H10&gt;=O$7),"■","")</f>
        <v/>
      </c>
      <c r="P10" s="85" t="str">
        <f aca="false">IF(AND($G10&lt;=P$7+6,$H10&gt;=P$7),"■","")</f>
        <v/>
      </c>
      <c r="Q10" s="85" t="str">
        <f aca="false">IF(AND($G10&lt;=Q$7+6,$H10&gt;=Q$7),"■","")</f>
        <v/>
      </c>
      <c r="R10" s="85" t="str">
        <f aca="false">IF(AND($G10&lt;=R$7+6,$H10&gt;=R$7),"■","")</f>
        <v/>
      </c>
      <c r="S10" s="85" t="str">
        <f aca="false">IF(AND($G10&lt;=S$7+6,$H10&gt;=S$7),"■","")</f>
        <v/>
      </c>
      <c r="T10" s="85" t="str">
        <f aca="false">IF(AND($G10&lt;=T$7+6,$H10&gt;=T$7),"■","")</f>
        <v/>
      </c>
      <c r="U10" s="85" t="str">
        <f aca="false">IF(AND($G10&lt;=U$7+6,$H10&gt;=U$7),"■","")</f>
        <v/>
      </c>
      <c r="V10" s="85" t="str">
        <f aca="false">IF(AND($G10&lt;=V$7+6,$H10&gt;=V$7),"■","")</f>
        <v/>
      </c>
      <c r="W10" s="85" t="str">
        <f aca="false">IF(AND($G10&lt;=W$7+6,$H10&gt;=W$7),"■","")</f>
        <v/>
      </c>
      <c r="X10" s="85" t="str">
        <f aca="false">IF(AND($G10&lt;=X$7+6,$H10&gt;=X$7),"■","")</f>
        <v/>
      </c>
      <c r="Y10" s="85" t="str">
        <f aca="false">IF(AND($G10&lt;=Y$7+6,$H10&gt;=Y$7),"■","")</f>
        <v/>
      </c>
      <c r="Z10" s="85" t="str">
        <f aca="false">IF(AND($G10&lt;=Z$7+6,$H10&gt;=Z$7),"■","")</f>
        <v/>
      </c>
      <c r="AA10" s="85" t="str">
        <f aca="false">IF(AND($G10&lt;=AA$7+6,$H10&gt;=AA$7),"■","")</f>
        <v/>
      </c>
      <c r="AB10" s="85" t="str">
        <f aca="false">IF(AND($G10&lt;=AB$7+6,$H10&gt;=AB$7),"■","")</f>
        <v/>
      </c>
      <c r="AC10" s="85" t="str">
        <f aca="false">IF(AND($G10&lt;=AC$7+6,$H10&gt;=AC$7),"■","")</f>
        <v/>
      </c>
      <c r="AD10" s="85" t="str">
        <f aca="false">IF(AND($G10&lt;=AD$7+6,$H10&gt;=AD$7),"■","")</f>
        <v/>
      </c>
      <c r="AE10" s="85" t="str">
        <f aca="false">IF(AND($G10&lt;=AE$7+6,$H10&gt;=AE$7),"■","")</f>
        <v/>
      </c>
      <c r="AF10" s="85" t="str">
        <f aca="false">IF(AND($G10&lt;=AF$7+6,$H10&gt;=AF$7),"■","")</f>
        <v/>
      </c>
      <c r="AG10" s="85" t="str">
        <f aca="false">IF(AND($G10&lt;=AG$7+6,$H10&gt;=AG$7),"■","")</f>
        <v/>
      </c>
      <c r="AH10" s="85" t="str">
        <f aca="false">IF(AND($G10&lt;=AH$7+6,$H10&gt;=AH$7),"■","")</f>
        <v/>
      </c>
      <c r="AI10" s="85" t="str">
        <f aca="false">IF(AND($G10&lt;=AI$7+6,$H10&gt;=AI$7),"■","")</f>
        <v/>
      </c>
      <c r="AJ10" s="85" t="str">
        <f aca="false">IF(AND($G10&lt;=AJ$7+6,$H10&gt;=AJ$7),"■","")</f>
        <v/>
      </c>
      <c r="AL10" s="77" t="n">
        <v>46349</v>
      </c>
      <c r="AM10" s="78" t="s">
        <v>140</v>
      </c>
    </row>
    <row r="11" customFormat="false" ht="39.75" hidden="false" customHeight="true" outlineLevel="0" collapsed="false">
      <c r="A11" s="71" t="s">
        <v>141</v>
      </c>
      <c r="B11" s="72" t="s">
        <v>142</v>
      </c>
      <c r="C11" s="73" t="s">
        <v>143</v>
      </c>
      <c r="D11" s="74" t="s">
        <v>132</v>
      </c>
      <c r="E11" s="74" t="s">
        <v>144</v>
      </c>
      <c r="F11" s="74" t="s">
        <v>145</v>
      </c>
      <c r="G11" s="75" t="n">
        <f aca="false">WORKDAY($B$4-1,9,$AL$9:$AL$40)</f>
        <v>46339</v>
      </c>
      <c r="H11" s="75" t="n">
        <f aca="false">WORKDAY($B$4-1,15,$AL$9:$AL$40)</f>
        <v>46350</v>
      </c>
      <c r="I11" s="75" t="n">
        <f aca="false">WORKDAY($B$4-1,15,$AL$9:$AL$40)</f>
        <v>46350</v>
      </c>
      <c r="J11" s="72" t="s">
        <v>137</v>
      </c>
      <c r="K11" s="72" t="s">
        <v>32</v>
      </c>
      <c r="L11" s="72" t="n">
        <f aca="false">NETWORKDAYS(G11,H11,$AL$9:$AL$40)</f>
        <v>7</v>
      </c>
      <c r="M11" s="76" t="str">
        <f aca="false">IF(AND($G11&lt;=M$7+6,$H11&gt;=M$7),"■","")</f>
        <v/>
      </c>
      <c r="N11" s="76" t="str">
        <f aca="false">IF(AND($G11&lt;=N$7+6,$H11&gt;=N$7),"■","")</f>
        <v>■</v>
      </c>
      <c r="O11" s="76" t="str">
        <f aca="false">IF(AND($G11&lt;=O$7+6,$H11&gt;=O$7),"■","")</f>
        <v>■</v>
      </c>
      <c r="P11" s="76" t="str">
        <f aca="false">IF(AND($G11&lt;=P$7+6,$H11&gt;=P$7),"■","")</f>
        <v>■</v>
      </c>
      <c r="Q11" s="76" t="str">
        <f aca="false">IF(AND($G11&lt;=Q$7+6,$H11&gt;=Q$7),"■","")</f>
        <v/>
      </c>
      <c r="R11" s="76" t="str">
        <f aca="false">IF(AND($G11&lt;=R$7+6,$H11&gt;=R$7),"■","")</f>
        <v/>
      </c>
      <c r="S11" s="76" t="str">
        <f aca="false">IF(AND($G11&lt;=S$7+6,$H11&gt;=S$7),"■","")</f>
        <v/>
      </c>
      <c r="T11" s="76" t="str">
        <f aca="false">IF(AND($G11&lt;=T$7+6,$H11&gt;=T$7),"■","")</f>
        <v/>
      </c>
      <c r="U11" s="76" t="str">
        <f aca="false">IF(AND($G11&lt;=U$7+6,$H11&gt;=U$7),"■","")</f>
        <v/>
      </c>
      <c r="V11" s="76" t="str">
        <f aca="false">IF(AND($G11&lt;=V$7+6,$H11&gt;=V$7),"■","")</f>
        <v/>
      </c>
      <c r="W11" s="76" t="str">
        <f aca="false">IF(AND($G11&lt;=W$7+6,$H11&gt;=W$7),"■","")</f>
        <v/>
      </c>
      <c r="X11" s="76" t="str">
        <f aca="false">IF(AND($G11&lt;=X$7+6,$H11&gt;=X$7),"■","")</f>
        <v/>
      </c>
      <c r="Y11" s="76" t="str">
        <f aca="false">IF(AND($G11&lt;=Y$7+6,$H11&gt;=Y$7),"■","")</f>
        <v/>
      </c>
      <c r="Z11" s="76" t="str">
        <f aca="false">IF(AND($G11&lt;=Z$7+6,$H11&gt;=Z$7),"■","")</f>
        <v/>
      </c>
      <c r="AA11" s="76" t="str">
        <f aca="false">IF(AND($G11&lt;=AA$7+6,$H11&gt;=AA$7),"■","")</f>
        <v/>
      </c>
      <c r="AB11" s="76" t="str">
        <f aca="false">IF(AND($G11&lt;=AB$7+6,$H11&gt;=AB$7),"■","")</f>
        <v/>
      </c>
      <c r="AC11" s="76" t="str">
        <f aca="false">IF(AND($G11&lt;=AC$7+6,$H11&gt;=AC$7),"■","")</f>
        <v/>
      </c>
      <c r="AD11" s="76" t="str">
        <f aca="false">IF(AND($G11&lt;=AD$7+6,$H11&gt;=AD$7),"■","")</f>
        <v/>
      </c>
      <c r="AE11" s="76" t="str">
        <f aca="false">IF(AND($G11&lt;=AE$7+6,$H11&gt;=AE$7),"■","")</f>
        <v/>
      </c>
      <c r="AF11" s="76" t="str">
        <f aca="false">IF(AND($G11&lt;=AF$7+6,$H11&gt;=AF$7),"■","")</f>
        <v/>
      </c>
      <c r="AG11" s="76" t="str">
        <f aca="false">IF(AND($G11&lt;=AG$7+6,$H11&gt;=AG$7),"■","")</f>
        <v/>
      </c>
      <c r="AH11" s="76" t="str">
        <f aca="false">IF(AND($G11&lt;=AH$7+6,$H11&gt;=AH$7),"■","")</f>
        <v/>
      </c>
      <c r="AI11" s="76" t="str">
        <f aca="false">IF(AND($G11&lt;=AI$7+6,$H11&gt;=AI$7),"■","")</f>
        <v/>
      </c>
      <c r="AJ11" s="76" t="str">
        <f aca="false">IF(AND($G11&lt;=AJ$7+6,$H11&gt;=AJ$7),"■","")</f>
        <v/>
      </c>
      <c r="AL11" s="77" t="n">
        <v>46385</v>
      </c>
      <c r="AM11" s="78" t="s">
        <v>146</v>
      </c>
    </row>
    <row r="12" customFormat="false" ht="39.75" hidden="false" customHeight="true" outlineLevel="0" collapsed="false">
      <c r="A12" s="79" t="s">
        <v>147</v>
      </c>
      <c r="B12" s="80" t="s">
        <v>148</v>
      </c>
      <c r="C12" s="81" t="s">
        <v>149</v>
      </c>
      <c r="D12" s="82" t="s">
        <v>150</v>
      </c>
      <c r="E12" s="83" t="s">
        <v>134</v>
      </c>
      <c r="F12" s="86" t="s">
        <v>151</v>
      </c>
      <c r="G12" s="75" t="n">
        <f aca="false">WORKDAY($B$4-1,16,$AL$9:$AL$40)</f>
        <v>46351</v>
      </c>
      <c r="H12" s="75" t="n">
        <f aca="false">WORKDAY($B$4-1,22,$AL$9:$AL$40)</f>
        <v>46359</v>
      </c>
      <c r="I12" s="75" t="s">
        <v>134</v>
      </c>
      <c r="J12" s="84" t="s">
        <v>141</v>
      </c>
      <c r="K12" s="80" t="s">
        <v>32</v>
      </c>
      <c r="L12" s="80" t="n">
        <f aca="false">NETWORKDAYS(G12,H12,$AL$9:$AL$40)</f>
        <v>7</v>
      </c>
      <c r="M12" s="85" t="str">
        <f aca="false">IF(AND($G12&lt;=M$7+6,$H12&gt;=M$7),"■","")</f>
        <v/>
      </c>
      <c r="N12" s="85" t="str">
        <f aca="false">IF(AND($G12&lt;=N$7+6,$H12&gt;=N$7),"■","")</f>
        <v/>
      </c>
      <c r="O12" s="85" t="str">
        <f aca="false">IF(AND($G12&lt;=O$7+6,$H12&gt;=O$7),"■","")</f>
        <v/>
      </c>
      <c r="P12" s="85" t="str">
        <f aca="false">IF(AND($G12&lt;=P$7+6,$H12&gt;=P$7),"■","")</f>
        <v>■</v>
      </c>
      <c r="Q12" s="85" t="str">
        <f aca="false">IF(AND($G12&lt;=Q$7+6,$H12&gt;=Q$7),"■","")</f>
        <v>■</v>
      </c>
      <c r="R12" s="85" t="str">
        <f aca="false">IF(AND($G12&lt;=R$7+6,$H12&gt;=R$7),"■","")</f>
        <v/>
      </c>
      <c r="S12" s="85" t="str">
        <f aca="false">IF(AND($G12&lt;=S$7+6,$H12&gt;=S$7),"■","")</f>
        <v/>
      </c>
      <c r="T12" s="85" t="str">
        <f aca="false">IF(AND($G12&lt;=T$7+6,$H12&gt;=T$7),"■","")</f>
        <v/>
      </c>
      <c r="U12" s="85" t="str">
        <f aca="false">IF(AND($G12&lt;=U$7+6,$H12&gt;=U$7),"■","")</f>
        <v/>
      </c>
      <c r="V12" s="85" t="str">
        <f aca="false">IF(AND($G12&lt;=V$7+6,$H12&gt;=V$7),"■","")</f>
        <v/>
      </c>
      <c r="W12" s="85" t="str">
        <f aca="false">IF(AND($G12&lt;=W$7+6,$H12&gt;=W$7),"■","")</f>
        <v/>
      </c>
      <c r="X12" s="85" t="str">
        <f aca="false">IF(AND($G12&lt;=X$7+6,$H12&gt;=X$7),"■","")</f>
        <v/>
      </c>
      <c r="Y12" s="85" t="str">
        <f aca="false">IF(AND($G12&lt;=Y$7+6,$H12&gt;=Y$7),"■","")</f>
        <v/>
      </c>
      <c r="Z12" s="85" t="str">
        <f aca="false">IF(AND($G12&lt;=Z$7+6,$H12&gt;=Z$7),"■","")</f>
        <v/>
      </c>
      <c r="AA12" s="85" t="str">
        <f aca="false">IF(AND($G12&lt;=AA$7+6,$H12&gt;=AA$7),"■","")</f>
        <v/>
      </c>
      <c r="AB12" s="85" t="str">
        <f aca="false">IF(AND($G12&lt;=AB$7+6,$H12&gt;=AB$7),"■","")</f>
        <v/>
      </c>
      <c r="AC12" s="85" t="str">
        <f aca="false">IF(AND($G12&lt;=AC$7+6,$H12&gt;=AC$7),"■","")</f>
        <v/>
      </c>
      <c r="AD12" s="85" t="str">
        <f aca="false">IF(AND($G12&lt;=AD$7+6,$H12&gt;=AD$7),"■","")</f>
        <v/>
      </c>
      <c r="AE12" s="85" t="str">
        <f aca="false">IF(AND($G12&lt;=AE$7+6,$H12&gt;=AE$7),"■","")</f>
        <v/>
      </c>
      <c r="AF12" s="85" t="str">
        <f aca="false">IF(AND($G12&lt;=AF$7+6,$H12&gt;=AF$7),"■","")</f>
        <v/>
      </c>
      <c r="AG12" s="85" t="str">
        <f aca="false">IF(AND($G12&lt;=AG$7+6,$H12&gt;=AG$7),"■","")</f>
        <v/>
      </c>
      <c r="AH12" s="85" t="str">
        <f aca="false">IF(AND($G12&lt;=AH$7+6,$H12&gt;=AH$7),"■","")</f>
        <v/>
      </c>
      <c r="AI12" s="85" t="str">
        <f aca="false">IF(AND($G12&lt;=AI$7+6,$H12&gt;=AI$7),"■","")</f>
        <v/>
      </c>
      <c r="AJ12" s="85" t="str">
        <f aca="false">IF(AND($G12&lt;=AJ$7+6,$H12&gt;=AJ$7),"■","")</f>
        <v/>
      </c>
      <c r="AL12" s="77" t="n">
        <v>46386</v>
      </c>
      <c r="AM12" s="78" t="s">
        <v>146</v>
      </c>
    </row>
    <row r="13" customFormat="false" ht="39.75" hidden="false" customHeight="true" outlineLevel="0" collapsed="false">
      <c r="A13" s="71" t="s">
        <v>152</v>
      </c>
      <c r="B13" s="72" t="s">
        <v>153</v>
      </c>
      <c r="C13" s="73" t="s">
        <v>154</v>
      </c>
      <c r="D13" s="74" t="s">
        <v>132</v>
      </c>
      <c r="E13" s="74" t="s">
        <v>144</v>
      </c>
      <c r="F13" s="74" t="s">
        <v>155</v>
      </c>
      <c r="G13" s="75" t="n">
        <f aca="false">WORKDAY($B$4-1,23,$AL$9:$AL$40)</f>
        <v>46360</v>
      </c>
      <c r="H13" s="75" t="n">
        <f aca="false">WORKDAY($B$4-1,29,$AL$9:$AL$40)</f>
        <v>46370</v>
      </c>
      <c r="I13" s="75" t="n">
        <f aca="false">WORKDAY($B$4-1,29,$AL$9:$AL$40)</f>
        <v>46370</v>
      </c>
      <c r="J13" s="72" t="s">
        <v>147</v>
      </c>
      <c r="K13" s="72" t="s">
        <v>32</v>
      </c>
      <c r="L13" s="72" t="n">
        <f aca="false">NETWORKDAYS(G13,H13,$AL$9:$AL$40)</f>
        <v>7</v>
      </c>
      <c r="M13" s="76" t="str">
        <f aca="false">IF(AND($G13&lt;=M$7+6,$H13&gt;=M$7),"■","")</f>
        <v/>
      </c>
      <c r="N13" s="76" t="str">
        <f aca="false">IF(AND($G13&lt;=N$7+6,$H13&gt;=N$7),"■","")</f>
        <v/>
      </c>
      <c r="O13" s="76" t="str">
        <f aca="false">IF(AND($G13&lt;=O$7+6,$H13&gt;=O$7),"■","")</f>
        <v/>
      </c>
      <c r="P13" s="76" t="str">
        <f aca="false">IF(AND($G13&lt;=P$7+6,$H13&gt;=P$7),"■","")</f>
        <v/>
      </c>
      <c r="Q13" s="76" t="str">
        <f aca="false">IF(AND($G13&lt;=Q$7+6,$H13&gt;=Q$7),"■","")</f>
        <v>■</v>
      </c>
      <c r="R13" s="76" t="str">
        <f aca="false">IF(AND($G13&lt;=R$7+6,$H13&gt;=R$7),"■","")</f>
        <v>■</v>
      </c>
      <c r="S13" s="76" t="str">
        <f aca="false">IF(AND($G13&lt;=S$7+6,$H13&gt;=S$7),"■","")</f>
        <v>■</v>
      </c>
      <c r="T13" s="76" t="str">
        <f aca="false">IF(AND($G13&lt;=T$7+6,$H13&gt;=T$7),"■","")</f>
        <v/>
      </c>
      <c r="U13" s="76" t="str">
        <f aca="false">IF(AND($G13&lt;=U$7+6,$H13&gt;=U$7),"■","")</f>
        <v/>
      </c>
      <c r="V13" s="76" t="str">
        <f aca="false">IF(AND($G13&lt;=V$7+6,$H13&gt;=V$7),"■","")</f>
        <v/>
      </c>
      <c r="W13" s="76" t="str">
        <f aca="false">IF(AND($G13&lt;=W$7+6,$H13&gt;=W$7),"■","")</f>
        <v/>
      </c>
      <c r="X13" s="76" t="str">
        <f aca="false">IF(AND($G13&lt;=X$7+6,$H13&gt;=X$7),"■","")</f>
        <v/>
      </c>
      <c r="Y13" s="76" t="str">
        <f aca="false">IF(AND($G13&lt;=Y$7+6,$H13&gt;=Y$7),"■","")</f>
        <v/>
      </c>
      <c r="Z13" s="76" t="str">
        <f aca="false">IF(AND($G13&lt;=Z$7+6,$H13&gt;=Z$7),"■","")</f>
        <v/>
      </c>
      <c r="AA13" s="76" t="str">
        <f aca="false">IF(AND($G13&lt;=AA$7+6,$H13&gt;=AA$7),"■","")</f>
        <v/>
      </c>
      <c r="AB13" s="76" t="str">
        <f aca="false">IF(AND($G13&lt;=AB$7+6,$H13&gt;=AB$7),"■","")</f>
        <v/>
      </c>
      <c r="AC13" s="76" t="str">
        <f aca="false">IF(AND($G13&lt;=AC$7+6,$H13&gt;=AC$7),"■","")</f>
        <v/>
      </c>
      <c r="AD13" s="76" t="str">
        <f aca="false">IF(AND($G13&lt;=AD$7+6,$H13&gt;=AD$7),"■","")</f>
        <v/>
      </c>
      <c r="AE13" s="76" t="str">
        <f aca="false">IF(AND($G13&lt;=AE$7+6,$H13&gt;=AE$7),"■","")</f>
        <v/>
      </c>
      <c r="AF13" s="76" t="str">
        <f aca="false">IF(AND($G13&lt;=AF$7+6,$H13&gt;=AF$7),"■","")</f>
        <v/>
      </c>
      <c r="AG13" s="76" t="str">
        <f aca="false">IF(AND($G13&lt;=AG$7+6,$H13&gt;=AG$7),"■","")</f>
        <v/>
      </c>
      <c r="AH13" s="76" t="str">
        <f aca="false">IF(AND($G13&lt;=AH$7+6,$H13&gt;=AH$7),"■","")</f>
        <v/>
      </c>
      <c r="AI13" s="76" t="str">
        <f aca="false">IF(AND($G13&lt;=AI$7+6,$H13&gt;=AI$7),"■","")</f>
        <v/>
      </c>
      <c r="AJ13" s="76" t="str">
        <f aca="false">IF(AND($G13&lt;=AJ$7+6,$H13&gt;=AJ$7),"■","")</f>
        <v/>
      </c>
      <c r="AL13" s="77" t="n">
        <v>46387</v>
      </c>
      <c r="AM13" s="78" t="s">
        <v>146</v>
      </c>
    </row>
    <row r="14" customFormat="false" ht="39.75" hidden="false" customHeight="true" outlineLevel="0" collapsed="false">
      <c r="A14" s="79" t="s">
        <v>156</v>
      </c>
      <c r="B14" s="80" t="s">
        <v>157</v>
      </c>
      <c r="C14" s="81" t="s">
        <v>158</v>
      </c>
      <c r="D14" s="82" t="s">
        <v>159</v>
      </c>
      <c r="E14" s="86" t="s">
        <v>160</v>
      </c>
      <c r="F14" s="86" t="s">
        <v>161</v>
      </c>
      <c r="G14" s="75" t="n">
        <f aca="false">WORKDAY($B$4-1,16,$AL$9:$AL$40)</f>
        <v>46351</v>
      </c>
      <c r="H14" s="75" t="n">
        <f aca="false">WORKDAY($B$4-1,29,$AL$9:$AL$40)</f>
        <v>46370</v>
      </c>
      <c r="I14" s="75" t="n">
        <f aca="false">WORKDAY($B$4-1,29,$AL$9:$AL$40)</f>
        <v>46370</v>
      </c>
      <c r="J14" s="84" t="s">
        <v>141</v>
      </c>
      <c r="K14" s="80" t="s">
        <v>32</v>
      </c>
      <c r="L14" s="80" t="n">
        <f aca="false">NETWORKDAYS(G14,H14,$AL$9:$AL$40)</f>
        <v>14</v>
      </c>
      <c r="M14" s="85" t="str">
        <f aca="false">IF(AND($G14&lt;=M$7+6,$H14&gt;=M$7),"■","")</f>
        <v/>
      </c>
      <c r="N14" s="85" t="str">
        <f aca="false">IF(AND($G14&lt;=N$7+6,$H14&gt;=N$7),"■","")</f>
        <v/>
      </c>
      <c r="O14" s="85" t="str">
        <f aca="false">IF(AND($G14&lt;=O$7+6,$H14&gt;=O$7),"■","")</f>
        <v/>
      </c>
      <c r="P14" s="85" t="str">
        <f aca="false">IF(AND($G14&lt;=P$7+6,$H14&gt;=P$7),"■","")</f>
        <v>■</v>
      </c>
      <c r="Q14" s="85" t="str">
        <f aca="false">IF(AND($G14&lt;=Q$7+6,$H14&gt;=Q$7),"■","")</f>
        <v>■</v>
      </c>
      <c r="R14" s="85" t="str">
        <f aca="false">IF(AND($G14&lt;=R$7+6,$H14&gt;=R$7),"■","")</f>
        <v>■</v>
      </c>
      <c r="S14" s="85" t="str">
        <f aca="false">IF(AND($G14&lt;=S$7+6,$H14&gt;=S$7),"■","")</f>
        <v>■</v>
      </c>
      <c r="T14" s="85" t="str">
        <f aca="false">IF(AND($G14&lt;=T$7+6,$H14&gt;=T$7),"■","")</f>
        <v/>
      </c>
      <c r="U14" s="85" t="str">
        <f aca="false">IF(AND($G14&lt;=U$7+6,$H14&gt;=U$7),"■","")</f>
        <v/>
      </c>
      <c r="V14" s="85" t="str">
        <f aca="false">IF(AND($G14&lt;=V$7+6,$H14&gt;=V$7),"■","")</f>
        <v/>
      </c>
      <c r="W14" s="85" t="str">
        <f aca="false">IF(AND($G14&lt;=W$7+6,$H14&gt;=W$7),"■","")</f>
        <v/>
      </c>
      <c r="X14" s="85" t="str">
        <f aca="false">IF(AND($G14&lt;=X$7+6,$H14&gt;=X$7),"■","")</f>
        <v/>
      </c>
      <c r="Y14" s="85" t="str">
        <f aca="false">IF(AND($G14&lt;=Y$7+6,$H14&gt;=Y$7),"■","")</f>
        <v/>
      </c>
      <c r="Z14" s="85" t="str">
        <f aca="false">IF(AND($G14&lt;=Z$7+6,$H14&gt;=Z$7),"■","")</f>
        <v/>
      </c>
      <c r="AA14" s="85" t="str">
        <f aca="false">IF(AND($G14&lt;=AA$7+6,$H14&gt;=AA$7),"■","")</f>
        <v/>
      </c>
      <c r="AB14" s="85" t="str">
        <f aca="false">IF(AND($G14&lt;=AB$7+6,$H14&gt;=AB$7),"■","")</f>
        <v/>
      </c>
      <c r="AC14" s="85" t="str">
        <f aca="false">IF(AND($G14&lt;=AC$7+6,$H14&gt;=AC$7),"■","")</f>
        <v/>
      </c>
      <c r="AD14" s="85" t="str">
        <f aca="false">IF(AND($G14&lt;=AD$7+6,$H14&gt;=AD$7),"■","")</f>
        <v/>
      </c>
      <c r="AE14" s="85" t="str">
        <f aca="false">IF(AND($G14&lt;=AE$7+6,$H14&gt;=AE$7),"■","")</f>
        <v/>
      </c>
      <c r="AF14" s="85" t="str">
        <f aca="false">IF(AND($G14&lt;=AF$7+6,$H14&gt;=AF$7),"■","")</f>
        <v/>
      </c>
      <c r="AG14" s="85" t="str">
        <f aca="false">IF(AND($G14&lt;=AG$7+6,$H14&gt;=AG$7),"■","")</f>
        <v/>
      </c>
      <c r="AH14" s="85" t="str">
        <f aca="false">IF(AND($G14&lt;=AH$7+6,$H14&gt;=AH$7),"■","")</f>
        <v/>
      </c>
      <c r="AI14" s="85" t="str">
        <f aca="false">IF(AND($G14&lt;=AI$7+6,$H14&gt;=AI$7),"■","")</f>
        <v/>
      </c>
      <c r="AJ14" s="85" t="str">
        <f aca="false">IF(AND($G14&lt;=AJ$7+6,$H14&gt;=AJ$7),"■","")</f>
        <v/>
      </c>
      <c r="AL14" s="77" t="n">
        <v>46388</v>
      </c>
      <c r="AM14" s="78" t="s">
        <v>162</v>
      </c>
    </row>
    <row r="15" customFormat="false" ht="39.75" hidden="false" customHeight="true" outlineLevel="0" collapsed="false">
      <c r="A15" s="71" t="s">
        <v>163</v>
      </c>
      <c r="B15" s="72" t="s">
        <v>164</v>
      </c>
      <c r="C15" s="73" t="s">
        <v>165</v>
      </c>
      <c r="D15" s="74" t="s">
        <v>166</v>
      </c>
      <c r="E15" s="74" t="s">
        <v>134</v>
      </c>
      <c r="F15" s="74" t="s">
        <v>167</v>
      </c>
      <c r="G15" s="75" t="n">
        <f aca="false">WORKDAY($B$4-1,16,$AL$9:$AL$40)</f>
        <v>46351</v>
      </c>
      <c r="H15" s="75" t="n">
        <f aca="false">WORKDAY($B$4-1,22,$AL$9:$AL$40)</f>
        <v>46359</v>
      </c>
      <c r="I15" s="75" t="s">
        <v>134</v>
      </c>
      <c r="J15" s="72" t="s">
        <v>141</v>
      </c>
      <c r="K15" s="72" t="s">
        <v>32</v>
      </c>
      <c r="L15" s="72" t="n">
        <f aca="false">NETWORKDAYS(G15,H15,$AL$9:$AL$40)</f>
        <v>7</v>
      </c>
      <c r="M15" s="76" t="str">
        <f aca="false">IF(AND($G15&lt;=M$7+6,$H15&gt;=M$7),"■","")</f>
        <v/>
      </c>
      <c r="N15" s="76" t="str">
        <f aca="false">IF(AND($G15&lt;=N$7+6,$H15&gt;=N$7),"■","")</f>
        <v/>
      </c>
      <c r="O15" s="76" t="str">
        <f aca="false">IF(AND($G15&lt;=O$7+6,$H15&gt;=O$7),"■","")</f>
        <v/>
      </c>
      <c r="P15" s="76" t="str">
        <f aca="false">IF(AND($G15&lt;=P$7+6,$H15&gt;=P$7),"■","")</f>
        <v>■</v>
      </c>
      <c r="Q15" s="76" t="str">
        <f aca="false">IF(AND($G15&lt;=Q$7+6,$H15&gt;=Q$7),"■","")</f>
        <v>■</v>
      </c>
      <c r="R15" s="76" t="str">
        <f aca="false">IF(AND($G15&lt;=R$7+6,$H15&gt;=R$7),"■","")</f>
        <v/>
      </c>
      <c r="S15" s="76" t="str">
        <f aca="false">IF(AND($G15&lt;=S$7+6,$H15&gt;=S$7),"■","")</f>
        <v/>
      </c>
      <c r="T15" s="76" t="str">
        <f aca="false">IF(AND($G15&lt;=T$7+6,$H15&gt;=T$7),"■","")</f>
        <v/>
      </c>
      <c r="U15" s="76" t="str">
        <f aca="false">IF(AND($G15&lt;=U$7+6,$H15&gt;=U$7),"■","")</f>
        <v/>
      </c>
      <c r="V15" s="76" t="str">
        <f aca="false">IF(AND($G15&lt;=V$7+6,$H15&gt;=V$7),"■","")</f>
        <v/>
      </c>
      <c r="W15" s="76" t="str">
        <f aca="false">IF(AND($G15&lt;=W$7+6,$H15&gt;=W$7),"■","")</f>
        <v/>
      </c>
      <c r="X15" s="76" t="str">
        <f aca="false">IF(AND($G15&lt;=X$7+6,$H15&gt;=X$7),"■","")</f>
        <v/>
      </c>
      <c r="Y15" s="76" t="str">
        <f aca="false">IF(AND($G15&lt;=Y$7+6,$H15&gt;=Y$7),"■","")</f>
        <v/>
      </c>
      <c r="Z15" s="76" t="str">
        <f aca="false">IF(AND($G15&lt;=Z$7+6,$H15&gt;=Z$7),"■","")</f>
        <v/>
      </c>
      <c r="AA15" s="76" t="str">
        <f aca="false">IF(AND($G15&lt;=AA$7+6,$H15&gt;=AA$7),"■","")</f>
        <v/>
      </c>
      <c r="AB15" s="76" t="str">
        <f aca="false">IF(AND($G15&lt;=AB$7+6,$H15&gt;=AB$7),"■","")</f>
        <v/>
      </c>
      <c r="AC15" s="76" t="str">
        <f aca="false">IF(AND($G15&lt;=AC$7+6,$H15&gt;=AC$7),"■","")</f>
        <v/>
      </c>
      <c r="AD15" s="76" t="str">
        <f aca="false">IF(AND($G15&lt;=AD$7+6,$H15&gt;=AD$7),"■","")</f>
        <v/>
      </c>
      <c r="AE15" s="76" t="str">
        <f aca="false">IF(AND($G15&lt;=AE$7+6,$H15&gt;=AE$7),"■","")</f>
        <v/>
      </c>
      <c r="AF15" s="76" t="str">
        <f aca="false">IF(AND($G15&lt;=AF$7+6,$H15&gt;=AF$7),"■","")</f>
        <v/>
      </c>
      <c r="AG15" s="76" t="str">
        <f aca="false">IF(AND($G15&lt;=AG$7+6,$H15&gt;=AG$7),"■","")</f>
        <v/>
      </c>
      <c r="AH15" s="76" t="str">
        <f aca="false">IF(AND($G15&lt;=AH$7+6,$H15&gt;=AH$7),"■","")</f>
        <v/>
      </c>
      <c r="AI15" s="76" t="str">
        <f aca="false">IF(AND($G15&lt;=AI$7+6,$H15&gt;=AI$7),"■","")</f>
        <v/>
      </c>
      <c r="AJ15" s="76" t="str">
        <f aca="false">IF(AND($G15&lt;=AJ$7+6,$H15&gt;=AJ$7),"■","")</f>
        <v/>
      </c>
      <c r="AL15" s="77" t="n">
        <v>46391</v>
      </c>
      <c r="AM15" s="78" t="s">
        <v>168</v>
      </c>
    </row>
    <row r="16" customFormat="false" ht="39.75" hidden="false" customHeight="true" outlineLevel="0" collapsed="false">
      <c r="A16" s="79" t="s">
        <v>169</v>
      </c>
      <c r="B16" s="80" t="s">
        <v>164</v>
      </c>
      <c r="C16" s="81" t="s">
        <v>170</v>
      </c>
      <c r="D16" s="82" t="s">
        <v>132</v>
      </c>
      <c r="E16" s="86" t="s">
        <v>171</v>
      </c>
      <c r="F16" s="86" t="s">
        <v>172</v>
      </c>
      <c r="G16" s="75" t="n">
        <f aca="false">WORKDAY($B$4-1,16,$AL$9:$AL$40)</f>
        <v>46351</v>
      </c>
      <c r="H16" s="75" t="n">
        <f aca="false">WORKDAY($B$4-1,31,$AL$9:$AL$40)</f>
        <v>46372</v>
      </c>
      <c r="I16" s="75" t="n">
        <f aca="false">WORKDAY($B$4-1,31,$AL$9:$AL$40)</f>
        <v>46372</v>
      </c>
      <c r="J16" s="84" t="s">
        <v>141</v>
      </c>
      <c r="K16" s="80" t="s">
        <v>32</v>
      </c>
      <c r="L16" s="80" t="n">
        <f aca="false">NETWORKDAYS(G16,H16,$AL$9:$AL$40)</f>
        <v>16</v>
      </c>
      <c r="M16" s="85" t="str">
        <f aca="false">IF(AND($G16&lt;=M$7+6,$H16&gt;=M$7),"■","")</f>
        <v/>
      </c>
      <c r="N16" s="85" t="str">
        <f aca="false">IF(AND($G16&lt;=N$7+6,$H16&gt;=N$7),"■","")</f>
        <v/>
      </c>
      <c r="O16" s="85" t="str">
        <f aca="false">IF(AND($G16&lt;=O$7+6,$H16&gt;=O$7),"■","")</f>
        <v/>
      </c>
      <c r="P16" s="85" t="str">
        <f aca="false">IF(AND($G16&lt;=P$7+6,$H16&gt;=P$7),"■","")</f>
        <v>■</v>
      </c>
      <c r="Q16" s="85" t="str">
        <f aca="false">IF(AND($G16&lt;=Q$7+6,$H16&gt;=Q$7),"■","")</f>
        <v>■</v>
      </c>
      <c r="R16" s="85" t="str">
        <f aca="false">IF(AND($G16&lt;=R$7+6,$H16&gt;=R$7),"■","")</f>
        <v>■</v>
      </c>
      <c r="S16" s="85" t="str">
        <f aca="false">IF(AND($G16&lt;=S$7+6,$H16&gt;=S$7),"■","")</f>
        <v>■</v>
      </c>
      <c r="T16" s="85" t="str">
        <f aca="false">IF(AND($G16&lt;=T$7+6,$H16&gt;=T$7),"■","")</f>
        <v/>
      </c>
      <c r="U16" s="85" t="str">
        <f aca="false">IF(AND($G16&lt;=U$7+6,$H16&gt;=U$7),"■","")</f>
        <v/>
      </c>
      <c r="V16" s="85" t="str">
        <f aca="false">IF(AND($G16&lt;=V$7+6,$H16&gt;=V$7),"■","")</f>
        <v/>
      </c>
      <c r="W16" s="85" t="str">
        <f aca="false">IF(AND($G16&lt;=W$7+6,$H16&gt;=W$7),"■","")</f>
        <v/>
      </c>
      <c r="X16" s="85" t="str">
        <f aca="false">IF(AND($G16&lt;=X$7+6,$H16&gt;=X$7),"■","")</f>
        <v/>
      </c>
      <c r="Y16" s="85" t="str">
        <f aca="false">IF(AND($G16&lt;=Y$7+6,$H16&gt;=Y$7),"■","")</f>
        <v/>
      </c>
      <c r="Z16" s="85" t="str">
        <f aca="false">IF(AND($G16&lt;=Z$7+6,$H16&gt;=Z$7),"■","")</f>
        <v/>
      </c>
      <c r="AA16" s="85" t="str">
        <f aca="false">IF(AND($G16&lt;=AA$7+6,$H16&gt;=AA$7),"■","")</f>
        <v/>
      </c>
      <c r="AB16" s="85" t="str">
        <f aca="false">IF(AND($G16&lt;=AB$7+6,$H16&gt;=AB$7),"■","")</f>
        <v/>
      </c>
      <c r="AC16" s="85" t="str">
        <f aca="false">IF(AND($G16&lt;=AC$7+6,$H16&gt;=AC$7),"■","")</f>
        <v/>
      </c>
      <c r="AD16" s="85" t="str">
        <f aca="false">IF(AND($G16&lt;=AD$7+6,$H16&gt;=AD$7),"■","")</f>
        <v/>
      </c>
      <c r="AE16" s="85" t="str">
        <f aca="false">IF(AND($G16&lt;=AE$7+6,$H16&gt;=AE$7),"■","")</f>
        <v/>
      </c>
      <c r="AF16" s="85" t="str">
        <f aca="false">IF(AND($G16&lt;=AF$7+6,$H16&gt;=AF$7),"■","")</f>
        <v/>
      </c>
      <c r="AG16" s="85" t="str">
        <f aca="false">IF(AND($G16&lt;=AG$7+6,$H16&gt;=AG$7),"■","")</f>
        <v/>
      </c>
      <c r="AH16" s="85" t="str">
        <f aca="false">IF(AND($G16&lt;=AH$7+6,$H16&gt;=AH$7),"■","")</f>
        <v/>
      </c>
      <c r="AI16" s="85" t="str">
        <f aca="false">IF(AND($G16&lt;=AI$7+6,$H16&gt;=AI$7),"■","")</f>
        <v/>
      </c>
      <c r="AJ16" s="85" t="str">
        <f aca="false">IF(AND($G16&lt;=AJ$7+6,$H16&gt;=AJ$7),"■","")</f>
        <v/>
      </c>
      <c r="AL16" s="77" t="n">
        <v>46398</v>
      </c>
      <c r="AM16" s="78" t="s">
        <v>173</v>
      </c>
    </row>
    <row r="17" customFormat="false" ht="39.75" hidden="false" customHeight="true" outlineLevel="0" collapsed="false">
      <c r="A17" s="71" t="s">
        <v>174</v>
      </c>
      <c r="B17" s="72" t="s">
        <v>164</v>
      </c>
      <c r="C17" s="73" t="s">
        <v>175</v>
      </c>
      <c r="D17" s="74" t="s">
        <v>132</v>
      </c>
      <c r="E17" s="74" t="s">
        <v>176</v>
      </c>
      <c r="F17" s="74" t="s">
        <v>177</v>
      </c>
      <c r="G17" s="75" t="n">
        <f aca="false">WORKDAY($B$4-1,32,$AL$9:$AL$40)</f>
        <v>46373</v>
      </c>
      <c r="H17" s="75" t="n">
        <f aca="false">WORKDAY($B$4-1,38,$AL$9:$AL$40)</f>
        <v>46381</v>
      </c>
      <c r="I17" s="75" t="n">
        <f aca="false">WORKDAY($B$4-1,38,$AL$9:$AL$40)</f>
        <v>46381</v>
      </c>
      <c r="J17" s="72" t="s">
        <v>178</v>
      </c>
      <c r="K17" s="72" t="s">
        <v>32</v>
      </c>
      <c r="L17" s="72" t="n">
        <f aca="false">NETWORKDAYS(G17,H17,$AL$9:$AL$40)</f>
        <v>7</v>
      </c>
      <c r="M17" s="76" t="str">
        <f aca="false">IF(AND($G17&lt;=M$7+6,$H17&gt;=M$7),"■","")</f>
        <v/>
      </c>
      <c r="N17" s="76" t="str">
        <f aca="false">IF(AND($G17&lt;=N$7+6,$H17&gt;=N$7),"■","")</f>
        <v/>
      </c>
      <c r="O17" s="76" t="str">
        <f aca="false">IF(AND($G17&lt;=O$7+6,$H17&gt;=O$7),"■","")</f>
        <v/>
      </c>
      <c r="P17" s="76" t="str">
        <f aca="false">IF(AND($G17&lt;=P$7+6,$H17&gt;=P$7),"■","")</f>
        <v/>
      </c>
      <c r="Q17" s="76" t="str">
        <f aca="false">IF(AND($G17&lt;=Q$7+6,$H17&gt;=Q$7),"■","")</f>
        <v/>
      </c>
      <c r="R17" s="76" t="str">
        <f aca="false">IF(AND($G17&lt;=R$7+6,$H17&gt;=R$7),"■","")</f>
        <v/>
      </c>
      <c r="S17" s="76" t="str">
        <f aca="false">IF(AND($G17&lt;=S$7+6,$H17&gt;=S$7),"■","")</f>
        <v>■</v>
      </c>
      <c r="T17" s="76" t="str">
        <f aca="false">IF(AND($G17&lt;=T$7+6,$H17&gt;=T$7),"■","")</f>
        <v>■</v>
      </c>
      <c r="U17" s="76" t="str">
        <f aca="false">IF(AND($G17&lt;=U$7+6,$H17&gt;=U$7),"■","")</f>
        <v/>
      </c>
      <c r="V17" s="76" t="str">
        <f aca="false">IF(AND($G17&lt;=V$7+6,$H17&gt;=V$7),"■","")</f>
        <v/>
      </c>
      <c r="W17" s="76" t="str">
        <f aca="false">IF(AND($G17&lt;=W$7+6,$H17&gt;=W$7),"■","")</f>
        <v/>
      </c>
      <c r="X17" s="76" t="str">
        <f aca="false">IF(AND($G17&lt;=X$7+6,$H17&gt;=X$7),"■","")</f>
        <v/>
      </c>
      <c r="Y17" s="76" t="str">
        <f aca="false">IF(AND($G17&lt;=Y$7+6,$H17&gt;=Y$7),"■","")</f>
        <v/>
      </c>
      <c r="Z17" s="76" t="str">
        <f aca="false">IF(AND($G17&lt;=Z$7+6,$H17&gt;=Z$7),"■","")</f>
        <v/>
      </c>
      <c r="AA17" s="76" t="str">
        <f aca="false">IF(AND($G17&lt;=AA$7+6,$H17&gt;=AA$7),"■","")</f>
        <v/>
      </c>
      <c r="AB17" s="76" t="str">
        <f aca="false">IF(AND($G17&lt;=AB$7+6,$H17&gt;=AB$7),"■","")</f>
        <v/>
      </c>
      <c r="AC17" s="76" t="str">
        <f aca="false">IF(AND($G17&lt;=AC$7+6,$H17&gt;=AC$7),"■","")</f>
        <v/>
      </c>
      <c r="AD17" s="76" t="str">
        <f aca="false">IF(AND($G17&lt;=AD$7+6,$H17&gt;=AD$7),"■","")</f>
        <v/>
      </c>
      <c r="AE17" s="76" t="str">
        <f aca="false">IF(AND($G17&lt;=AE$7+6,$H17&gt;=AE$7),"■","")</f>
        <v/>
      </c>
      <c r="AF17" s="76" t="str">
        <f aca="false">IF(AND($G17&lt;=AF$7+6,$H17&gt;=AF$7),"■","")</f>
        <v/>
      </c>
      <c r="AG17" s="76" t="str">
        <f aca="false">IF(AND($G17&lt;=AG$7+6,$H17&gt;=AG$7),"■","")</f>
        <v/>
      </c>
      <c r="AH17" s="76" t="str">
        <f aca="false">IF(AND($G17&lt;=AH$7+6,$H17&gt;=AH$7),"■","")</f>
        <v/>
      </c>
      <c r="AI17" s="76" t="str">
        <f aca="false">IF(AND($G17&lt;=AI$7+6,$H17&gt;=AI$7),"■","")</f>
        <v/>
      </c>
      <c r="AJ17" s="76" t="str">
        <f aca="false">IF(AND($G17&lt;=AJ$7+6,$H17&gt;=AJ$7),"■","")</f>
        <v/>
      </c>
      <c r="AL17" s="77" t="n">
        <v>46429</v>
      </c>
      <c r="AM17" s="78" t="s">
        <v>179</v>
      </c>
    </row>
    <row r="18" customFormat="false" ht="39.75" hidden="false" customHeight="true" outlineLevel="0" collapsed="false">
      <c r="A18" s="79" t="s">
        <v>180</v>
      </c>
      <c r="B18" s="80" t="s">
        <v>181</v>
      </c>
      <c r="C18" s="81" t="s">
        <v>182</v>
      </c>
      <c r="D18" s="82" t="s">
        <v>166</v>
      </c>
      <c r="E18" s="86" t="s">
        <v>183</v>
      </c>
      <c r="F18" s="86" t="s">
        <v>184</v>
      </c>
      <c r="G18" s="75" t="n">
        <f aca="false">WORKDAY($B$4-1,41,$AL$9:$AL$40)</f>
        <v>46393</v>
      </c>
      <c r="H18" s="75" t="n">
        <f aca="false">WORKDAY($B$4-1,41,$AL$9:$AL$40)</f>
        <v>46393</v>
      </c>
      <c r="I18" s="75" t="s">
        <v>134</v>
      </c>
      <c r="J18" s="84" t="s">
        <v>174</v>
      </c>
      <c r="K18" s="80" t="s">
        <v>32</v>
      </c>
      <c r="L18" s="80" t="n">
        <f aca="false">NETWORKDAYS(G18,H18,$AL$9:$AL$40)</f>
        <v>1</v>
      </c>
      <c r="M18" s="85" t="str">
        <f aca="false">IF(AND($G18&lt;=M$7+6,$H18&gt;=M$7),"■","")</f>
        <v/>
      </c>
      <c r="N18" s="85" t="str">
        <f aca="false">IF(AND($G18&lt;=N$7+6,$H18&gt;=N$7),"■","")</f>
        <v/>
      </c>
      <c r="O18" s="85" t="str">
        <f aca="false">IF(AND($G18&lt;=O$7+6,$H18&gt;=O$7),"■","")</f>
        <v/>
      </c>
      <c r="P18" s="85" t="str">
        <f aca="false">IF(AND($G18&lt;=P$7+6,$H18&gt;=P$7),"■","")</f>
        <v/>
      </c>
      <c r="Q18" s="85" t="str">
        <f aca="false">IF(AND($G18&lt;=Q$7+6,$H18&gt;=Q$7),"■","")</f>
        <v/>
      </c>
      <c r="R18" s="85" t="str">
        <f aca="false">IF(AND($G18&lt;=R$7+6,$H18&gt;=R$7),"■","")</f>
        <v/>
      </c>
      <c r="S18" s="85" t="str">
        <f aca="false">IF(AND($G18&lt;=S$7+6,$H18&gt;=S$7),"■","")</f>
        <v/>
      </c>
      <c r="T18" s="85" t="str">
        <f aca="false">IF(AND($G18&lt;=T$7+6,$H18&gt;=T$7),"■","")</f>
        <v/>
      </c>
      <c r="U18" s="85" t="str">
        <f aca="false">IF(AND($G18&lt;=U$7+6,$H18&gt;=U$7),"■","")</f>
        <v/>
      </c>
      <c r="V18" s="85" t="str">
        <f aca="false">IF(AND($G18&lt;=V$7+6,$H18&gt;=V$7),"■","")</f>
        <v>■</v>
      </c>
      <c r="W18" s="85" t="str">
        <f aca="false">IF(AND($G18&lt;=W$7+6,$H18&gt;=W$7),"■","")</f>
        <v/>
      </c>
      <c r="X18" s="85" t="str">
        <f aca="false">IF(AND($G18&lt;=X$7+6,$H18&gt;=X$7),"■","")</f>
        <v/>
      </c>
      <c r="Y18" s="85" t="str">
        <f aca="false">IF(AND($G18&lt;=Y$7+6,$H18&gt;=Y$7),"■","")</f>
        <v/>
      </c>
      <c r="Z18" s="85" t="str">
        <f aca="false">IF(AND($G18&lt;=Z$7+6,$H18&gt;=Z$7),"■","")</f>
        <v/>
      </c>
      <c r="AA18" s="85" t="str">
        <f aca="false">IF(AND($G18&lt;=AA$7+6,$H18&gt;=AA$7),"■","")</f>
        <v/>
      </c>
      <c r="AB18" s="85" t="str">
        <f aca="false">IF(AND($G18&lt;=AB$7+6,$H18&gt;=AB$7),"■","")</f>
        <v/>
      </c>
      <c r="AC18" s="85" t="str">
        <f aca="false">IF(AND($G18&lt;=AC$7+6,$H18&gt;=AC$7),"■","")</f>
        <v/>
      </c>
      <c r="AD18" s="85" t="str">
        <f aca="false">IF(AND($G18&lt;=AD$7+6,$H18&gt;=AD$7),"■","")</f>
        <v/>
      </c>
      <c r="AE18" s="85" t="str">
        <f aca="false">IF(AND($G18&lt;=AE$7+6,$H18&gt;=AE$7),"■","")</f>
        <v/>
      </c>
      <c r="AF18" s="85" t="str">
        <f aca="false">IF(AND($G18&lt;=AF$7+6,$H18&gt;=AF$7),"■","")</f>
        <v/>
      </c>
      <c r="AG18" s="85" t="str">
        <f aca="false">IF(AND($G18&lt;=AG$7+6,$H18&gt;=AG$7),"■","")</f>
        <v/>
      </c>
      <c r="AH18" s="85" t="str">
        <f aca="false">IF(AND($G18&lt;=AH$7+6,$H18&gt;=AH$7),"■","")</f>
        <v/>
      </c>
      <c r="AI18" s="85" t="str">
        <f aca="false">IF(AND($G18&lt;=AI$7+6,$H18&gt;=AI$7),"■","")</f>
        <v/>
      </c>
      <c r="AJ18" s="85" t="str">
        <f aca="false">IF(AND($G18&lt;=AJ$7+6,$H18&gt;=AJ$7),"■","")</f>
        <v/>
      </c>
      <c r="AL18" s="77" t="n">
        <v>46441</v>
      </c>
      <c r="AM18" s="78" t="s">
        <v>185</v>
      </c>
    </row>
    <row r="19" customFormat="false" ht="39.75" hidden="false" customHeight="true" outlineLevel="0" collapsed="false">
      <c r="A19" s="71" t="s">
        <v>186</v>
      </c>
      <c r="B19" s="72" t="s">
        <v>181</v>
      </c>
      <c r="C19" s="73" t="s">
        <v>187</v>
      </c>
      <c r="D19" s="74" t="s">
        <v>166</v>
      </c>
      <c r="E19" s="74" t="s">
        <v>132</v>
      </c>
      <c r="F19" s="74" t="s">
        <v>188</v>
      </c>
      <c r="G19" s="75" t="n">
        <f aca="false">WORKDAY($B$4-1,42,$AL$9:$AL$40)</f>
        <v>46394</v>
      </c>
      <c r="H19" s="75" t="n">
        <f aca="false">WORKDAY($B$4-1,42,$AL$9:$AL$40)</f>
        <v>46394</v>
      </c>
      <c r="I19" s="75" t="s">
        <v>134</v>
      </c>
      <c r="J19" s="72" t="s">
        <v>180</v>
      </c>
      <c r="K19" s="72" t="s">
        <v>32</v>
      </c>
      <c r="L19" s="72" t="n">
        <f aca="false">NETWORKDAYS(G19,H19,$AL$9:$AL$40)</f>
        <v>1</v>
      </c>
      <c r="M19" s="76" t="str">
        <f aca="false">IF(AND($G19&lt;=M$7+6,$H19&gt;=M$7),"■","")</f>
        <v/>
      </c>
      <c r="N19" s="76" t="str">
        <f aca="false">IF(AND($G19&lt;=N$7+6,$H19&gt;=N$7),"■","")</f>
        <v/>
      </c>
      <c r="O19" s="76" t="str">
        <f aca="false">IF(AND($G19&lt;=O$7+6,$H19&gt;=O$7),"■","")</f>
        <v/>
      </c>
      <c r="P19" s="76" t="str">
        <f aca="false">IF(AND($G19&lt;=P$7+6,$H19&gt;=P$7),"■","")</f>
        <v/>
      </c>
      <c r="Q19" s="76" t="str">
        <f aca="false">IF(AND($G19&lt;=Q$7+6,$H19&gt;=Q$7),"■","")</f>
        <v/>
      </c>
      <c r="R19" s="76" t="str">
        <f aca="false">IF(AND($G19&lt;=R$7+6,$H19&gt;=R$7),"■","")</f>
        <v/>
      </c>
      <c r="S19" s="76" t="str">
        <f aca="false">IF(AND($G19&lt;=S$7+6,$H19&gt;=S$7),"■","")</f>
        <v/>
      </c>
      <c r="T19" s="76" t="str">
        <f aca="false">IF(AND($G19&lt;=T$7+6,$H19&gt;=T$7),"■","")</f>
        <v/>
      </c>
      <c r="U19" s="76" t="str">
        <f aca="false">IF(AND($G19&lt;=U$7+6,$H19&gt;=U$7),"■","")</f>
        <v/>
      </c>
      <c r="V19" s="76" t="str">
        <f aca="false">IF(AND($G19&lt;=V$7+6,$H19&gt;=V$7),"■","")</f>
        <v>■</v>
      </c>
      <c r="W19" s="76" t="str">
        <f aca="false">IF(AND($G19&lt;=W$7+6,$H19&gt;=W$7),"■","")</f>
        <v/>
      </c>
      <c r="X19" s="76" t="str">
        <f aca="false">IF(AND($G19&lt;=X$7+6,$H19&gt;=X$7),"■","")</f>
        <v/>
      </c>
      <c r="Y19" s="76" t="str">
        <f aca="false">IF(AND($G19&lt;=Y$7+6,$H19&gt;=Y$7),"■","")</f>
        <v/>
      </c>
      <c r="Z19" s="76" t="str">
        <f aca="false">IF(AND($G19&lt;=Z$7+6,$H19&gt;=Z$7),"■","")</f>
        <v/>
      </c>
      <c r="AA19" s="76" t="str">
        <f aca="false">IF(AND($G19&lt;=AA$7+6,$H19&gt;=AA$7),"■","")</f>
        <v/>
      </c>
      <c r="AB19" s="76" t="str">
        <f aca="false">IF(AND($G19&lt;=AB$7+6,$H19&gt;=AB$7),"■","")</f>
        <v/>
      </c>
      <c r="AC19" s="76" t="str">
        <f aca="false">IF(AND($G19&lt;=AC$7+6,$H19&gt;=AC$7),"■","")</f>
        <v/>
      </c>
      <c r="AD19" s="76" t="str">
        <f aca="false">IF(AND($G19&lt;=AD$7+6,$H19&gt;=AD$7),"■","")</f>
        <v/>
      </c>
      <c r="AE19" s="76" t="str">
        <f aca="false">IF(AND($G19&lt;=AE$7+6,$H19&gt;=AE$7),"■","")</f>
        <v/>
      </c>
      <c r="AF19" s="76" t="str">
        <f aca="false">IF(AND($G19&lt;=AF$7+6,$H19&gt;=AF$7),"■","")</f>
        <v/>
      </c>
      <c r="AG19" s="76" t="str">
        <f aca="false">IF(AND($G19&lt;=AG$7+6,$H19&gt;=AG$7),"■","")</f>
        <v/>
      </c>
      <c r="AH19" s="76" t="str">
        <f aca="false">IF(AND($G19&lt;=AH$7+6,$H19&gt;=AH$7),"■","")</f>
        <v/>
      </c>
      <c r="AI19" s="76" t="str">
        <f aca="false">IF(AND($G19&lt;=AI$7+6,$H19&gt;=AI$7),"■","")</f>
        <v/>
      </c>
      <c r="AJ19" s="76" t="str">
        <f aca="false">IF(AND($G19&lt;=AJ$7+6,$H19&gt;=AJ$7),"■","")</f>
        <v/>
      </c>
      <c r="AL19" s="77" t="n">
        <v>46468</v>
      </c>
      <c r="AM19" s="78" t="s">
        <v>189</v>
      </c>
    </row>
    <row r="20" customFormat="false" ht="39.75" hidden="false" customHeight="true" outlineLevel="0" collapsed="false">
      <c r="A20" s="79" t="s">
        <v>190</v>
      </c>
      <c r="B20" s="80" t="s">
        <v>181</v>
      </c>
      <c r="C20" s="81" t="s">
        <v>191</v>
      </c>
      <c r="D20" s="82" t="s">
        <v>192</v>
      </c>
      <c r="E20" s="86" t="s">
        <v>159</v>
      </c>
      <c r="F20" s="86" t="s">
        <v>193</v>
      </c>
      <c r="G20" s="75" t="n">
        <f aca="false">WORKDAY($B$4-1,45,$AL$9:$AL$40)</f>
        <v>46400</v>
      </c>
      <c r="H20" s="75" t="n">
        <f aca="false">WORKDAY($B$4-1,45,$AL$9:$AL$40)</f>
        <v>46400</v>
      </c>
      <c r="I20" s="75" t="s">
        <v>134</v>
      </c>
      <c r="J20" s="84" t="s">
        <v>194</v>
      </c>
      <c r="K20" s="80" t="s">
        <v>32</v>
      </c>
      <c r="L20" s="80" t="n">
        <f aca="false">NETWORKDAYS(G20,H20,$AL$9:$AL$40)</f>
        <v>1</v>
      </c>
      <c r="M20" s="85" t="str">
        <f aca="false">IF(AND($G20&lt;=M$7+6,$H20&gt;=M$7),"■","")</f>
        <v/>
      </c>
      <c r="N20" s="85" t="str">
        <f aca="false">IF(AND($G20&lt;=N$7+6,$H20&gt;=N$7),"■","")</f>
        <v/>
      </c>
      <c r="O20" s="85" t="str">
        <f aca="false">IF(AND($G20&lt;=O$7+6,$H20&gt;=O$7),"■","")</f>
        <v/>
      </c>
      <c r="P20" s="85" t="str">
        <f aca="false">IF(AND($G20&lt;=P$7+6,$H20&gt;=P$7),"■","")</f>
        <v/>
      </c>
      <c r="Q20" s="85" t="str">
        <f aca="false">IF(AND($G20&lt;=Q$7+6,$H20&gt;=Q$7),"■","")</f>
        <v/>
      </c>
      <c r="R20" s="85" t="str">
        <f aca="false">IF(AND($G20&lt;=R$7+6,$H20&gt;=R$7),"■","")</f>
        <v/>
      </c>
      <c r="S20" s="85" t="str">
        <f aca="false">IF(AND($G20&lt;=S$7+6,$H20&gt;=S$7),"■","")</f>
        <v/>
      </c>
      <c r="T20" s="85" t="str">
        <f aca="false">IF(AND($G20&lt;=T$7+6,$H20&gt;=T$7),"■","")</f>
        <v/>
      </c>
      <c r="U20" s="85" t="str">
        <f aca="false">IF(AND($G20&lt;=U$7+6,$H20&gt;=U$7),"■","")</f>
        <v/>
      </c>
      <c r="V20" s="85" t="str">
        <f aca="false">IF(AND($G20&lt;=V$7+6,$H20&gt;=V$7),"■","")</f>
        <v/>
      </c>
      <c r="W20" s="85" t="str">
        <f aca="false">IF(AND($G20&lt;=W$7+6,$H20&gt;=W$7),"■","")</f>
        <v>■</v>
      </c>
      <c r="X20" s="85" t="str">
        <f aca="false">IF(AND($G20&lt;=X$7+6,$H20&gt;=X$7),"■","")</f>
        <v/>
      </c>
      <c r="Y20" s="85" t="str">
        <f aca="false">IF(AND($G20&lt;=Y$7+6,$H20&gt;=Y$7),"■","")</f>
        <v/>
      </c>
      <c r="Z20" s="85" t="str">
        <f aca="false">IF(AND($G20&lt;=Z$7+6,$H20&gt;=Z$7),"■","")</f>
        <v/>
      </c>
      <c r="AA20" s="85" t="str">
        <f aca="false">IF(AND($G20&lt;=AA$7+6,$H20&gt;=AA$7),"■","")</f>
        <v/>
      </c>
      <c r="AB20" s="85" t="str">
        <f aca="false">IF(AND($G20&lt;=AB$7+6,$H20&gt;=AB$7),"■","")</f>
        <v/>
      </c>
      <c r="AC20" s="85" t="str">
        <f aca="false">IF(AND($G20&lt;=AC$7+6,$H20&gt;=AC$7),"■","")</f>
        <v/>
      </c>
      <c r="AD20" s="85" t="str">
        <f aca="false">IF(AND($G20&lt;=AD$7+6,$H20&gt;=AD$7),"■","")</f>
        <v/>
      </c>
      <c r="AE20" s="85" t="str">
        <f aca="false">IF(AND($G20&lt;=AE$7+6,$H20&gt;=AE$7),"■","")</f>
        <v/>
      </c>
      <c r="AF20" s="85" t="str">
        <f aca="false">IF(AND($G20&lt;=AF$7+6,$H20&gt;=AF$7),"■","")</f>
        <v/>
      </c>
      <c r="AG20" s="85" t="str">
        <f aca="false">IF(AND($G20&lt;=AG$7+6,$H20&gt;=AG$7),"■","")</f>
        <v/>
      </c>
      <c r="AH20" s="85" t="str">
        <f aca="false">IF(AND($G20&lt;=AH$7+6,$H20&gt;=AH$7),"■","")</f>
        <v/>
      </c>
      <c r="AI20" s="85" t="str">
        <f aca="false">IF(AND($G20&lt;=AI$7+6,$H20&gt;=AI$7),"■","")</f>
        <v/>
      </c>
      <c r="AJ20" s="85" t="str">
        <f aca="false">IF(AND($G20&lt;=AJ$7+6,$H20&gt;=AJ$7),"■","")</f>
        <v/>
      </c>
      <c r="AL20" s="77" t="n">
        <v>46506</v>
      </c>
      <c r="AM20" s="78" t="s">
        <v>195</v>
      </c>
    </row>
    <row r="21" customFormat="false" ht="39.75" hidden="false" customHeight="true" outlineLevel="0" collapsed="false">
      <c r="A21" s="71" t="s">
        <v>196</v>
      </c>
      <c r="B21" s="72" t="s">
        <v>181</v>
      </c>
      <c r="C21" s="73" t="s">
        <v>197</v>
      </c>
      <c r="D21" s="74" t="s">
        <v>198</v>
      </c>
      <c r="E21" s="74" t="s">
        <v>132</v>
      </c>
      <c r="F21" s="74" t="s">
        <v>199</v>
      </c>
      <c r="G21" s="75" t="n">
        <f aca="false">WORKDAY($B$4-1,50,$AL$9:$AL$40)</f>
        <v>46407</v>
      </c>
      <c r="H21" s="75" t="n">
        <f aca="false">WORKDAY($B$4-1,50,$AL$9:$AL$40)</f>
        <v>46407</v>
      </c>
      <c r="I21" s="75" t="s">
        <v>134</v>
      </c>
      <c r="J21" s="72" t="s">
        <v>190</v>
      </c>
      <c r="K21" s="72" t="s">
        <v>32</v>
      </c>
      <c r="L21" s="72" t="n">
        <f aca="false">NETWORKDAYS(G21,H21,$AL$9:$AL$40)</f>
        <v>1</v>
      </c>
      <c r="M21" s="76" t="str">
        <f aca="false">IF(AND($G21&lt;=M$7+6,$H21&gt;=M$7),"■","")</f>
        <v/>
      </c>
      <c r="N21" s="76" t="str">
        <f aca="false">IF(AND($G21&lt;=N$7+6,$H21&gt;=N$7),"■","")</f>
        <v/>
      </c>
      <c r="O21" s="76" t="str">
        <f aca="false">IF(AND($G21&lt;=O$7+6,$H21&gt;=O$7),"■","")</f>
        <v/>
      </c>
      <c r="P21" s="76" t="str">
        <f aca="false">IF(AND($G21&lt;=P$7+6,$H21&gt;=P$7),"■","")</f>
        <v/>
      </c>
      <c r="Q21" s="76" t="str">
        <f aca="false">IF(AND($G21&lt;=Q$7+6,$H21&gt;=Q$7),"■","")</f>
        <v/>
      </c>
      <c r="R21" s="76" t="str">
        <f aca="false">IF(AND($G21&lt;=R$7+6,$H21&gt;=R$7),"■","")</f>
        <v/>
      </c>
      <c r="S21" s="76" t="str">
        <f aca="false">IF(AND($G21&lt;=S$7+6,$H21&gt;=S$7),"■","")</f>
        <v/>
      </c>
      <c r="T21" s="76" t="str">
        <f aca="false">IF(AND($G21&lt;=T$7+6,$H21&gt;=T$7),"■","")</f>
        <v/>
      </c>
      <c r="U21" s="76" t="str">
        <f aca="false">IF(AND($G21&lt;=U$7+6,$H21&gt;=U$7),"■","")</f>
        <v/>
      </c>
      <c r="V21" s="76" t="str">
        <f aca="false">IF(AND($G21&lt;=V$7+6,$H21&gt;=V$7),"■","")</f>
        <v/>
      </c>
      <c r="W21" s="76" t="str">
        <f aca="false">IF(AND($G21&lt;=W$7+6,$H21&gt;=W$7),"■","")</f>
        <v/>
      </c>
      <c r="X21" s="76" t="str">
        <f aca="false">IF(AND($G21&lt;=X$7+6,$H21&gt;=X$7),"■","")</f>
        <v>■</v>
      </c>
      <c r="Y21" s="76" t="str">
        <f aca="false">IF(AND($G21&lt;=Y$7+6,$H21&gt;=Y$7),"■","")</f>
        <v/>
      </c>
      <c r="Z21" s="76" t="str">
        <f aca="false">IF(AND($G21&lt;=Z$7+6,$H21&gt;=Z$7),"■","")</f>
        <v/>
      </c>
      <c r="AA21" s="76" t="str">
        <f aca="false">IF(AND($G21&lt;=AA$7+6,$H21&gt;=AA$7),"■","")</f>
        <v/>
      </c>
      <c r="AB21" s="76" t="str">
        <f aca="false">IF(AND($G21&lt;=AB$7+6,$H21&gt;=AB$7),"■","")</f>
        <v/>
      </c>
      <c r="AC21" s="76" t="str">
        <f aca="false">IF(AND($G21&lt;=AC$7+6,$H21&gt;=AC$7),"■","")</f>
        <v/>
      </c>
      <c r="AD21" s="76" t="str">
        <f aca="false">IF(AND($G21&lt;=AD$7+6,$H21&gt;=AD$7),"■","")</f>
        <v/>
      </c>
      <c r="AE21" s="76" t="str">
        <f aca="false">IF(AND($G21&lt;=AE$7+6,$H21&gt;=AE$7),"■","")</f>
        <v/>
      </c>
      <c r="AF21" s="76" t="str">
        <f aca="false">IF(AND($G21&lt;=AF$7+6,$H21&gt;=AF$7),"■","")</f>
        <v/>
      </c>
      <c r="AG21" s="76" t="str">
        <f aca="false">IF(AND($G21&lt;=AG$7+6,$H21&gt;=AG$7),"■","")</f>
        <v/>
      </c>
      <c r="AH21" s="76" t="str">
        <f aca="false">IF(AND($G21&lt;=AH$7+6,$H21&gt;=AH$7),"■","")</f>
        <v/>
      </c>
      <c r="AI21" s="76" t="str">
        <f aca="false">IF(AND($G21&lt;=AI$7+6,$H21&gt;=AI$7),"■","")</f>
        <v/>
      </c>
      <c r="AJ21" s="76" t="str">
        <f aca="false">IF(AND($G21&lt;=AJ$7+6,$H21&gt;=AJ$7),"■","")</f>
        <v/>
      </c>
      <c r="AL21" s="77" t="n">
        <v>46510</v>
      </c>
      <c r="AM21" s="78" t="s">
        <v>200</v>
      </c>
    </row>
    <row r="22" customFormat="false" ht="39.75" hidden="false" customHeight="true" outlineLevel="0" collapsed="false">
      <c r="A22" s="79" t="s">
        <v>201</v>
      </c>
      <c r="B22" s="80" t="s">
        <v>202</v>
      </c>
      <c r="C22" s="81" t="s">
        <v>203</v>
      </c>
      <c r="D22" s="82" t="s">
        <v>204</v>
      </c>
      <c r="E22" s="83" t="s">
        <v>134</v>
      </c>
      <c r="F22" s="86" t="s">
        <v>205</v>
      </c>
      <c r="G22" s="75" t="n">
        <f aca="false">WORKDAY($B$4-1,43,$AL$9:$AL$40)</f>
        <v>46395</v>
      </c>
      <c r="H22" s="75" t="n">
        <f aca="false">WORKDAY($B$4-1,52,$AL$9:$AL$40)</f>
        <v>46409</v>
      </c>
      <c r="I22" s="75" t="s">
        <v>134</v>
      </c>
      <c r="J22" s="84" t="s">
        <v>180</v>
      </c>
      <c r="K22" s="80" t="s">
        <v>32</v>
      </c>
      <c r="L22" s="80" t="n">
        <f aca="false">NETWORKDAYS(G22,H22,$AL$9:$AL$40)</f>
        <v>10</v>
      </c>
      <c r="M22" s="85" t="str">
        <f aca="false">IF(AND($G22&lt;=M$7+6,$H22&gt;=M$7),"■","")</f>
        <v/>
      </c>
      <c r="N22" s="85" t="str">
        <f aca="false">IF(AND($G22&lt;=N$7+6,$H22&gt;=N$7),"■","")</f>
        <v/>
      </c>
      <c r="O22" s="85" t="str">
        <f aca="false">IF(AND($G22&lt;=O$7+6,$H22&gt;=O$7),"■","")</f>
        <v/>
      </c>
      <c r="P22" s="85" t="str">
        <f aca="false">IF(AND($G22&lt;=P$7+6,$H22&gt;=P$7),"■","")</f>
        <v/>
      </c>
      <c r="Q22" s="85" t="str">
        <f aca="false">IF(AND($G22&lt;=Q$7+6,$H22&gt;=Q$7),"■","")</f>
        <v/>
      </c>
      <c r="R22" s="85" t="str">
        <f aca="false">IF(AND($G22&lt;=R$7+6,$H22&gt;=R$7),"■","")</f>
        <v/>
      </c>
      <c r="S22" s="85" t="str">
        <f aca="false">IF(AND($G22&lt;=S$7+6,$H22&gt;=S$7),"■","")</f>
        <v/>
      </c>
      <c r="T22" s="85" t="str">
        <f aca="false">IF(AND($G22&lt;=T$7+6,$H22&gt;=T$7),"■","")</f>
        <v/>
      </c>
      <c r="U22" s="85" t="str">
        <f aca="false">IF(AND($G22&lt;=U$7+6,$H22&gt;=U$7),"■","")</f>
        <v/>
      </c>
      <c r="V22" s="85" t="str">
        <f aca="false">IF(AND($G22&lt;=V$7+6,$H22&gt;=V$7),"■","")</f>
        <v>■</v>
      </c>
      <c r="W22" s="85" t="str">
        <f aca="false">IF(AND($G22&lt;=W$7+6,$H22&gt;=W$7),"■","")</f>
        <v>■</v>
      </c>
      <c r="X22" s="85" t="str">
        <f aca="false">IF(AND($G22&lt;=X$7+6,$H22&gt;=X$7),"■","")</f>
        <v>■</v>
      </c>
      <c r="Y22" s="85" t="str">
        <f aca="false">IF(AND($G22&lt;=Y$7+6,$H22&gt;=Y$7),"■","")</f>
        <v/>
      </c>
      <c r="Z22" s="85" t="str">
        <f aca="false">IF(AND($G22&lt;=Z$7+6,$H22&gt;=Z$7),"■","")</f>
        <v/>
      </c>
      <c r="AA22" s="85" t="str">
        <f aca="false">IF(AND($G22&lt;=AA$7+6,$H22&gt;=AA$7),"■","")</f>
        <v/>
      </c>
      <c r="AB22" s="85" t="str">
        <f aca="false">IF(AND($G22&lt;=AB$7+6,$H22&gt;=AB$7),"■","")</f>
        <v/>
      </c>
      <c r="AC22" s="85" t="str">
        <f aca="false">IF(AND($G22&lt;=AC$7+6,$H22&gt;=AC$7),"■","")</f>
        <v/>
      </c>
      <c r="AD22" s="85" t="str">
        <f aca="false">IF(AND($G22&lt;=AD$7+6,$H22&gt;=AD$7),"■","")</f>
        <v/>
      </c>
      <c r="AE22" s="85" t="str">
        <f aca="false">IF(AND($G22&lt;=AE$7+6,$H22&gt;=AE$7),"■","")</f>
        <v/>
      </c>
      <c r="AF22" s="85" t="str">
        <f aca="false">IF(AND($G22&lt;=AF$7+6,$H22&gt;=AF$7),"■","")</f>
        <v/>
      </c>
      <c r="AG22" s="85" t="str">
        <f aca="false">IF(AND($G22&lt;=AG$7+6,$H22&gt;=AG$7),"■","")</f>
        <v/>
      </c>
      <c r="AH22" s="85" t="str">
        <f aca="false">IF(AND($G22&lt;=AH$7+6,$H22&gt;=AH$7),"■","")</f>
        <v/>
      </c>
      <c r="AI22" s="85" t="str">
        <f aca="false">IF(AND($G22&lt;=AI$7+6,$H22&gt;=AI$7),"■","")</f>
        <v/>
      </c>
      <c r="AJ22" s="85" t="str">
        <f aca="false">IF(AND($G22&lt;=AJ$7+6,$H22&gt;=AJ$7),"■","")</f>
        <v/>
      </c>
      <c r="AL22" s="77" t="n">
        <v>46511</v>
      </c>
      <c r="AM22" s="78" t="s">
        <v>206</v>
      </c>
    </row>
    <row r="23" customFormat="false" ht="39.75" hidden="false" customHeight="true" outlineLevel="0" collapsed="false">
      <c r="A23" s="71" t="s">
        <v>207</v>
      </c>
      <c r="B23" s="72" t="s">
        <v>208</v>
      </c>
      <c r="C23" s="73" t="s">
        <v>209</v>
      </c>
      <c r="D23" s="74" t="s">
        <v>210</v>
      </c>
      <c r="E23" s="74" t="s">
        <v>134</v>
      </c>
      <c r="F23" s="74" t="s">
        <v>211</v>
      </c>
      <c r="G23" s="75" t="n">
        <f aca="false">WORKDAY($B$4-1,43,$AL$9:$AL$40)</f>
        <v>46395</v>
      </c>
      <c r="H23" s="75" t="n">
        <f aca="false">WORKDAY($B$4-1,57,$AL$9:$AL$40)</f>
        <v>46416</v>
      </c>
      <c r="I23" s="75" t="s">
        <v>134</v>
      </c>
      <c r="J23" s="72" t="s">
        <v>212</v>
      </c>
      <c r="K23" s="72" t="s">
        <v>32</v>
      </c>
      <c r="L23" s="72" t="n">
        <f aca="false">NETWORKDAYS(G23,H23,$AL$9:$AL$40)</f>
        <v>15</v>
      </c>
      <c r="M23" s="76" t="str">
        <f aca="false">IF(AND($G23&lt;=M$7+6,$H23&gt;=M$7),"■","")</f>
        <v/>
      </c>
      <c r="N23" s="76" t="str">
        <f aca="false">IF(AND($G23&lt;=N$7+6,$H23&gt;=N$7),"■","")</f>
        <v/>
      </c>
      <c r="O23" s="76" t="str">
        <f aca="false">IF(AND($G23&lt;=O$7+6,$H23&gt;=O$7),"■","")</f>
        <v/>
      </c>
      <c r="P23" s="76" t="str">
        <f aca="false">IF(AND($G23&lt;=P$7+6,$H23&gt;=P$7),"■","")</f>
        <v/>
      </c>
      <c r="Q23" s="76" t="str">
        <f aca="false">IF(AND($G23&lt;=Q$7+6,$H23&gt;=Q$7),"■","")</f>
        <v/>
      </c>
      <c r="R23" s="76" t="str">
        <f aca="false">IF(AND($G23&lt;=R$7+6,$H23&gt;=R$7),"■","")</f>
        <v/>
      </c>
      <c r="S23" s="76" t="str">
        <f aca="false">IF(AND($G23&lt;=S$7+6,$H23&gt;=S$7),"■","")</f>
        <v/>
      </c>
      <c r="T23" s="76" t="str">
        <f aca="false">IF(AND($G23&lt;=T$7+6,$H23&gt;=T$7),"■","")</f>
        <v/>
      </c>
      <c r="U23" s="76" t="str">
        <f aca="false">IF(AND($G23&lt;=U$7+6,$H23&gt;=U$7),"■","")</f>
        <v/>
      </c>
      <c r="V23" s="76" t="str">
        <f aca="false">IF(AND($G23&lt;=V$7+6,$H23&gt;=V$7),"■","")</f>
        <v>■</v>
      </c>
      <c r="W23" s="76" t="str">
        <f aca="false">IF(AND($G23&lt;=W$7+6,$H23&gt;=W$7),"■","")</f>
        <v>■</v>
      </c>
      <c r="X23" s="76" t="str">
        <f aca="false">IF(AND($G23&lt;=X$7+6,$H23&gt;=X$7),"■","")</f>
        <v>■</v>
      </c>
      <c r="Y23" s="76" t="str">
        <f aca="false">IF(AND($G23&lt;=Y$7+6,$H23&gt;=Y$7),"■","")</f>
        <v>■</v>
      </c>
      <c r="Z23" s="76" t="str">
        <f aca="false">IF(AND($G23&lt;=Z$7+6,$H23&gt;=Z$7),"■","")</f>
        <v/>
      </c>
      <c r="AA23" s="76" t="str">
        <f aca="false">IF(AND($G23&lt;=AA$7+6,$H23&gt;=AA$7),"■","")</f>
        <v/>
      </c>
      <c r="AB23" s="76" t="str">
        <f aca="false">IF(AND($G23&lt;=AB$7+6,$H23&gt;=AB$7),"■","")</f>
        <v/>
      </c>
      <c r="AC23" s="76" t="str">
        <f aca="false">IF(AND($G23&lt;=AC$7+6,$H23&gt;=AC$7),"■","")</f>
        <v/>
      </c>
      <c r="AD23" s="76" t="str">
        <f aca="false">IF(AND($G23&lt;=AD$7+6,$H23&gt;=AD$7),"■","")</f>
        <v/>
      </c>
      <c r="AE23" s="76" t="str">
        <f aca="false">IF(AND($G23&lt;=AE$7+6,$H23&gt;=AE$7),"■","")</f>
        <v/>
      </c>
      <c r="AF23" s="76" t="str">
        <f aca="false">IF(AND($G23&lt;=AF$7+6,$H23&gt;=AF$7),"■","")</f>
        <v/>
      </c>
      <c r="AG23" s="76" t="str">
        <f aca="false">IF(AND($G23&lt;=AG$7+6,$H23&gt;=AG$7),"■","")</f>
        <v/>
      </c>
      <c r="AH23" s="76" t="str">
        <f aca="false">IF(AND($G23&lt;=AH$7+6,$H23&gt;=AH$7),"■","")</f>
        <v/>
      </c>
      <c r="AI23" s="76" t="str">
        <f aca="false">IF(AND($G23&lt;=AI$7+6,$H23&gt;=AI$7),"■","")</f>
        <v/>
      </c>
      <c r="AJ23" s="76" t="str">
        <f aca="false">IF(AND($G23&lt;=AJ$7+6,$H23&gt;=AJ$7),"■","")</f>
        <v/>
      </c>
      <c r="AL23" s="77" t="n">
        <v>46512</v>
      </c>
      <c r="AM23" s="78" t="s">
        <v>213</v>
      </c>
    </row>
    <row r="24" customFormat="false" ht="39.75" hidden="false" customHeight="true" outlineLevel="0" collapsed="false">
      <c r="A24" s="79" t="s">
        <v>214</v>
      </c>
      <c r="B24" s="80" t="s">
        <v>215</v>
      </c>
      <c r="C24" s="81" t="s">
        <v>216</v>
      </c>
      <c r="D24" s="82" t="s">
        <v>132</v>
      </c>
      <c r="E24" s="86" t="s">
        <v>217</v>
      </c>
      <c r="F24" s="86" t="s">
        <v>218</v>
      </c>
      <c r="G24" s="75" t="n">
        <f aca="false">WORKDAY($B$4-1,58,$AL$9:$AL$40)</f>
        <v>46419</v>
      </c>
      <c r="H24" s="75" t="n">
        <f aca="false">WORKDAY($B$4-1,64,$AL$9:$AL$40)</f>
        <v>46427</v>
      </c>
      <c r="I24" s="75" t="n">
        <f aca="false">WORKDAY($B$4-1,64,$AL$9:$AL$40)</f>
        <v>46427</v>
      </c>
      <c r="J24" s="84" t="s">
        <v>219</v>
      </c>
      <c r="K24" s="80" t="s">
        <v>32</v>
      </c>
      <c r="L24" s="80" t="n">
        <f aca="false">NETWORKDAYS(G24,H24,$AL$9:$AL$40)</f>
        <v>7</v>
      </c>
      <c r="M24" s="85" t="str">
        <f aca="false">IF(AND($G24&lt;=M$7+6,$H24&gt;=M$7),"■","")</f>
        <v/>
      </c>
      <c r="N24" s="85" t="str">
        <f aca="false">IF(AND($G24&lt;=N$7+6,$H24&gt;=N$7),"■","")</f>
        <v/>
      </c>
      <c r="O24" s="85" t="str">
        <f aca="false">IF(AND($G24&lt;=O$7+6,$H24&gt;=O$7),"■","")</f>
        <v/>
      </c>
      <c r="P24" s="85" t="str">
        <f aca="false">IF(AND($G24&lt;=P$7+6,$H24&gt;=P$7),"■","")</f>
        <v/>
      </c>
      <c r="Q24" s="85" t="str">
        <f aca="false">IF(AND($G24&lt;=Q$7+6,$H24&gt;=Q$7),"■","")</f>
        <v/>
      </c>
      <c r="R24" s="85" t="str">
        <f aca="false">IF(AND($G24&lt;=R$7+6,$H24&gt;=R$7),"■","")</f>
        <v/>
      </c>
      <c r="S24" s="85" t="str">
        <f aca="false">IF(AND($G24&lt;=S$7+6,$H24&gt;=S$7),"■","")</f>
        <v/>
      </c>
      <c r="T24" s="85" t="str">
        <f aca="false">IF(AND($G24&lt;=T$7+6,$H24&gt;=T$7),"■","")</f>
        <v/>
      </c>
      <c r="U24" s="85" t="str">
        <f aca="false">IF(AND($G24&lt;=U$7+6,$H24&gt;=U$7),"■","")</f>
        <v/>
      </c>
      <c r="V24" s="85" t="str">
        <f aca="false">IF(AND($G24&lt;=V$7+6,$H24&gt;=V$7),"■","")</f>
        <v/>
      </c>
      <c r="W24" s="85" t="str">
        <f aca="false">IF(AND($G24&lt;=W$7+6,$H24&gt;=W$7),"■","")</f>
        <v/>
      </c>
      <c r="X24" s="85" t="str">
        <f aca="false">IF(AND($G24&lt;=X$7+6,$H24&gt;=X$7),"■","")</f>
        <v/>
      </c>
      <c r="Y24" s="85" t="str">
        <f aca="false">IF(AND($G24&lt;=Y$7+6,$H24&gt;=Y$7),"■","")</f>
        <v/>
      </c>
      <c r="Z24" s="85" t="str">
        <f aca="false">IF(AND($G24&lt;=Z$7+6,$H24&gt;=Z$7),"■","")</f>
        <v>■</v>
      </c>
      <c r="AA24" s="85" t="str">
        <f aca="false">IF(AND($G24&lt;=AA$7+6,$H24&gt;=AA$7),"■","")</f>
        <v>■</v>
      </c>
      <c r="AB24" s="85" t="str">
        <f aca="false">IF(AND($G24&lt;=AB$7+6,$H24&gt;=AB$7),"■","")</f>
        <v/>
      </c>
      <c r="AC24" s="85" t="str">
        <f aca="false">IF(AND($G24&lt;=AC$7+6,$H24&gt;=AC$7),"■","")</f>
        <v/>
      </c>
      <c r="AD24" s="85" t="str">
        <f aca="false">IF(AND($G24&lt;=AD$7+6,$H24&gt;=AD$7),"■","")</f>
        <v/>
      </c>
      <c r="AE24" s="85" t="str">
        <f aca="false">IF(AND($G24&lt;=AE$7+6,$H24&gt;=AE$7),"■","")</f>
        <v/>
      </c>
      <c r="AF24" s="85" t="str">
        <f aca="false">IF(AND($G24&lt;=AF$7+6,$H24&gt;=AF$7),"■","")</f>
        <v/>
      </c>
      <c r="AG24" s="85" t="str">
        <f aca="false">IF(AND($G24&lt;=AG$7+6,$H24&gt;=AG$7),"■","")</f>
        <v/>
      </c>
      <c r="AH24" s="85" t="str">
        <f aca="false">IF(AND($G24&lt;=AH$7+6,$H24&gt;=AH$7),"■","")</f>
        <v/>
      </c>
      <c r="AI24" s="85" t="str">
        <f aca="false">IF(AND($G24&lt;=AI$7+6,$H24&gt;=AI$7),"■","")</f>
        <v/>
      </c>
      <c r="AJ24" s="85" t="str">
        <f aca="false">IF(AND($G24&lt;=AJ$7+6,$H24&gt;=AJ$7),"■","")</f>
        <v/>
      </c>
      <c r="AL24" s="77"/>
      <c r="AM24" s="78"/>
    </row>
    <row r="25" customFormat="false" ht="39.75" hidden="false" customHeight="true" outlineLevel="0" collapsed="false">
      <c r="A25" s="71" t="s">
        <v>220</v>
      </c>
      <c r="B25" s="72" t="s">
        <v>215</v>
      </c>
      <c r="C25" s="73" t="s">
        <v>221</v>
      </c>
      <c r="D25" s="74" t="s">
        <v>159</v>
      </c>
      <c r="E25" s="74" t="s">
        <v>160</v>
      </c>
      <c r="F25" s="74" t="s">
        <v>222</v>
      </c>
      <c r="G25" s="75" t="n">
        <f aca="false">WORKDAY($B$4-1,58,$AL$9:$AL$40)</f>
        <v>46419</v>
      </c>
      <c r="H25" s="75" t="n">
        <f aca="false">WORKDAY($B$4-1,64,$AL$9:$AL$40)</f>
        <v>46427</v>
      </c>
      <c r="I25" s="75" t="n">
        <f aca="false">WORKDAY($B$4-1,64,$AL$9:$AL$40)</f>
        <v>46427</v>
      </c>
      <c r="J25" s="72" t="s">
        <v>207</v>
      </c>
      <c r="K25" s="72" t="s">
        <v>32</v>
      </c>
      <c r="L25" s="72" t="n">
        <f aca="false">NETWORKDAYS(G25,H25,$AL$9:$AL$40)</f>
        <v>7</v>
      </c>
      <c r="M25" s="76" t="str">
        <f aca="false">IF(AND($G25&lt;=M$7+6,$H25&gt;=M$7),"■","")</f>
        <v/>
      </c>
      <c r="N25" s="76" t="str">
        <f aca="false">IF(AND($G25&lt;=N$7+6,$H25&gt;=N$7),"■","")</f>
        <v/>
      </c>
      <c r="O25" s="76" t="str">
        <f aca="false">IF(AND($G25&lt;=O$7+6,$H25&gt;=O$7),"■","")</f>
        <v/>
      </c>
      <c r="P25" s="76" t="str">
        <f aca="false">IF(AND($G25&lt;=P$7+6,$H25&gt;=P$7),"■","")</f>
        <v/>
      </c>
      <c r="Q25" s="76" t="str">
        <f aca="false">IF(AND($G25&lt;=Q$7+6,$H25&gt;=Q$7),"■","")</f>
        <v/>
      </c>
      <c r="R25" s="76" t="str">
        <f aca="false">IF(AND($G25&lt;=R$7+6,$H25&gt;=R$7),"■","")</f>
        <v/>
      </c>
      <c r="S25" s="76" t="str">
        <f aca="false">IF(AND($G25&lt;=S$7+6,$H25&gt;=S$7),"■","")</f>
        <v/>
      </c>
      <c r="T25" s="76" t="str">
        <f aca="false">IF(AND($G25&lt;=T$7+6,$H25&gt;=T$7),"■","")</f>
        <v/>
      </c>
      <c r="U25" s="76" t="str">
        <f aca="false">IF(AND($G25&lt;=U$7+6,$H25&gt;=U$7),"■","")</f>
        <v/>
      </c>
      <c r="V25" s="76" t="str">
        <f aca="false">IF(AND($G25&lt;=V$7+6,$H25&gt;=V$7),"■","")</f>
        <v/>
      </c>
      <c r="W25" s="76" t="str">
        <f aca="false">IF(AND($G25&lt;=W$7+6,$H25&gt;=W$7),"■","")</f>
        <v/>
      </c>
      <c r="X25" s="76" t="str">
        <f aca="false">IF(AND($G25&lt;=X$7+6,$H25&gt;=X$7),"■","")</f>
        <v/>
      </c>
      <c r="Y25" s="76" t="str">
        <f aca="false">IF(AND($G25&lt;=Y$7+6,$H25&gt;=Y$7),"■","")</f>
        <v/>
      </c>
      <c r="Z25" s="76" t="str">
        <f aca="false">IF(AND($G25&lt;=Z$7+6,$H25&gt;=Z$7),"■","")</f>
        <v>■</v>
      </c>
      <c r="AA25" s="76" t="str">
        <f aca="false">IF(AND($G25&lt;=AA$7+6,$H25&gt;=AA$7),"■","")</f>
        <v>■</v>
      </c>
      <c r="AB25" s="76" t="str">
        <f aca="false">IF(AND($G25&lt;=AB$7+6,$H25&gt;=AB$7),"■","")</f>
        <v/>
      </c>
      <c r="AC25" s="76" t="str">
        <f aca="false">IF(AND($G25&lt;=AC$7+6,$H25&gt;=AC$7),"■","")</f>
        <v/>
      </c>
      <c r="AD25" s="76" t="str">
        <f aca="false">IF(AND($G25&lt;=AD$7+6,$H25&gt;=AD$7),"■","")</f>
        <v/>
      </c>
      <c r="AE25" s="76" t="str">
        <f aca="false">IF(AND($G25&lt;=AE$7+6,$H25&gt;=AE$7),"■","")</f>
        <v/>
      </c>
      <c r="AF25" s="76" t="str">
        <f aca="false">IF(AND($G25&lt;=AF$7+6,$H25&gt;=AF$7),"■","")</f>
        <v/>
      </c>
      <c r="AG25" s="76" t="str">
        <f aca="false">IF(AND($G25&lt;=AG$7+6,$H25&gt;=AG$7),"■","")</f>
        <v/>
      </c>
      <c r="AH25" s="76" t="str">
        <f aca="false">IF(AND($G25&lt;=AH$7+6,$H25&gt;=AH$7),"■","")</f>
        <v/>
      </c>
      <c r="AI25" s="76" t="str">
        <f aca="false">IF(AND($G25&lt;=AI$7+6,$H25&gt;=AI$7),"■","")</f>
        <v/>
      </c>
      <c r="AJ25" s="76" t="str">
        <f aca="false">IF(AND($G25&lt;=AJ$7+6,$H25&gt;=AJ$7),"■","")</f>
        <v/>
      </c>
      <c r="AL25" s="77"/>
      <c r="AM25" s="78"/>
    </row>
    <row r="26" customFormat="false" ht="39.75" hidden="false" customHeight="true" outlineLevel="0" collapsed="false">
      <c r="A26" s="79" t="s">
        <v>223</v>
      </c>
      <c r="B26" s="80" t="s">
        <v>224</v>
      </c>
      <c r="C26" s="81" t="s">
        <v>225</v>
      </c>
      <c r="D26" s="82" t="s">
        <v>226</v>
      </c>
      <c r="E26" s="83" t="s">
        <v>134</v>
      </c>
      <c r="F26" s="86" t="s">
        <v>227</v>
      </c>
      <c r="G26" s="75" t="n">
        <f aca="false">WORKDAY($B$4-1,65,$AL$9:$AL$40)</f>
        <v>46428</v>
      </c>
      <c r="H26" s="75" t="n">
        <f aca="false">WORKDAY($B$4-1,68,$AL$9:$AL$40)</f>
        <v>46434</v>
      </c>
      <c r="I26" s="75" t="s">
        <v>134</v>
      </c>
      <c r="J26" s="84" t="s">
        <v>228</v>
      </c>
      <c r="K26" s="80" t="s">
        <v>32</v>
      </c>
      <c r="L26" s="80" t="n">
        <f aca="false">NETWORKDAYS(G26,H26,$AL$9:$AL$40)</f>
        <v>4</v>
      </c>
      <c r="M26" s="85" t="str">
        <f aca="false">IF(AND($G26&lt;=M$7+6,$H26&gt;=M$7),"■","")</f>
        <v/>
      </c>
      <c r="N26" s="85" t="str">
        <f aca="false">IF(AND($G26&lt;=N$7+6,$H26&gt;=N$7),"■","")</f>
        <v/>
      </c>
      <c r="O26" s="85" t="str">
        <f aca="false">IF(AND($G26&lt;=O$7+6,$H26&gt;=O$7),"■","")</f>
        <v/>
      </c>
      <c r="P26" s="85" t="str">
        <f aca="false">IF(AND($G26&lt;=P$7+6,$H26&gt;=P$7),"■","")</f>
        <v/>
      </c>
      <c r="Q26" s="85" t="str">
        <f aca="false">IF(AND($G26&lt;=Q$7+6,$H26&gt;=Q$7),"■","")</f>
        <v/>
      </c>
      <c r="R26" s="85" t="str">
        <f aca="false">IF(AND($G26&lt;=R$7+6,$H26&gt;=R$7),"■","")</f>
        <v/>
      </c>
      <c r="S26" s="85" t="str">
        <f aca="false">IF(AND($G26&lt;=S$7+6,$H26&gt;=S$7),"■","")</f>
        <v/>
      </c>
      <c r="T26" s="85" t="str">
        <f aca="false">IF(AND($G26&lt;=T$7+6,$H26&gt;=T$7),"■","")</f>
        <v/>
      </c>
      <c r="U26" s="85" t="str">
        <f aca="false">IF(AND($G26&lt;=U$7+6,$H26&gt;=U$7),"■","")</f>
        <v/>
      </c>
      <c r="V26" s="85" t="str">
        <f aca="false">IF(AND($G26&lt;=V$7+6,$H26&gt;=V$7),"■","")</f>
        <v/>
      </c>
      <c r="W26" s="85" t="str">
        <f aca="false">IF(AND($G26&lt;=W$7+6,$H26&gt;=W$7),"■","")</f>
        <v/>
      </c>
      <c r="X26" s="85" t="str">
        <f aca="false">IF(AND($G26&lt;=X$7+6,$H26&gt;=X$7),"■","")</f>
        <v/>
      </c>
      <c r="Y26" s="85" t="str">
        <f aca="false">IF(AND($G26&lt;=Y$7+6,$H26&gt;=Y$7),"■","")</f>
        <v/>
      </c>
      <c r="Z26" s="85" t="str">
        <f aca="false">IF(AND($G26&lt;=Z$7+6,$H26&gt;=Z$7),"■","")</f>
        <v/>
      </c>
      <c r="AA26" s="85" t="str">
        <f aca="false">IF(AND($G26&lt;=AA$7+6,$H26&gt;=AA$7),"■","")</f>
        <v>■</v>
      </c>
      <c r="AB26" s="85" t="str">
        <f aca="false">IF(AND($G26&lt;=AB$7+6,$H26&gt;=AB$7),"■","")</f>
        <v>■</v>
      </c>
      <c r="AC26" s="85" t="str">
        <f aca="false">IF(AND($G26&lt;=AC$7+6,$H26&gt;=AC$7),"■","")</f>
        <v/>
      </c>
      <c r="AD26" s="85" t="str">
        <f aca="false">IF(AND($G26&lt;=AD$7+6,$H26&gt;=AD$7),"■","")</f>
        <v/>
      </c>
      <c r="AE26" s="85" t="str">
        <f aca="false">IF(AND($G26&lt;=AE$7+6,$H26&gt;=AE$7),"■","")</f>
        <v/>
      </c>
      <c r="AF26" s="85" t="str">
        <f aca="false">IF(AND($G26&lt;=AF$7+6,$H26&gt;=AF$7),"■","")</f>
        <v/>
      </c>
      <c r="AG26" s="85" t="str">
        <f aca="false">IF(AND($G26&lt;=AG$7+6,$H26&gt;=AG$7),"■","")</f>
        <v/>
      </c>
      <c r="AH26" s="85" t="str">
        <f aca="false">IF(AND($G26&lt;=AH$7+6,$H26&gt;=AH$7),"■","")</f>
        <v/>
      </c>
      <c r="AI26" s="85" t="str">
        <f aca="false">IF(AND($G26&lt;=AI$7+6,$H26&gt;=AI$7),"■","")</f>
        <v/>
      </c>
      <c r="AJ26" s="85" t="str">
        <f aca="false">IF(AND($G26&lt;=AJ$7+6,$H26&gt;=AJ$7),"■","")</f>
        <v/>
      </c>
      <c r="AL26" s="77"/>
      <c r="AM26" s="78"/>
    </row>
    <row r="27" customFormat="false" ht="39.75" hidden="false" customHeight="true" outlineLevel="0" collapsed="false">
      <c r="A27" s="71" t="s">
        <v>229</v>
      </c>
      <c r="B27" s="72" t="s">
        <v>230</v>
      </c>
      <c r="C27" s="73" t="s">
        <v>231</v>
      </c>
      <c r="D27" s="74" t="s">
        <v>232</v>
      </c>
      <c r="E27" s="74" t="s">
        <v>134</v>
      </c>
      <c r="F27" s="74" t="s">
        <v>233</v>
      </c>
      <c r="G27" s="75" t="n">
        <f aca="false">WORKDAY($B$4-1,51,$AL$9:$AL$40)</f>
        <v>46408</v>
      </c>
      <c r="H27" s="75" t="n">
        <f aca="false">WORKDAY($B$4-1,60,$AL$9:$AL$40)</f>
        <v>46421</v>
      </c>
      <c r="I27" s="75" t="s">
        <v>134</v>
      </c>
      <c r="J27" s="72" t="s">
        <v>234</v>
      </c>
      <c r="K27" s="72" t="s">
        <v>32</v>
      </c>
      <c r="L27" s="72" t="n">
        <f aca="false">NETWORKDAYS(G27,H27,$AL$9:$AL$40)</f>
        <v>10</v>
      </c>
      <c r="M27" s="76" t="str">
        <f aca="false">IF(AND($G27&lt;=M$7+6,$H27&gt;=M$7),"■","")</f>
        <v/>
      </c>
      <c r="N27" s="76" t="str">
        <f aca="false">IF(AND($G27&lt;=N$7+6,$H27&gt;=N$7),"■","")</f>
        <v/>
      </c>
      <c r="O27" s="76" t="str">
        <f aca="false">IF(AND($G27&lt;=O$7+6,$H27&gt;=O$7),"■","")</f>
        <v/>
      </c>
      <c r="P27" s="76" t="str">
        <f aca="false">IF(AND($G27&lt;=P$7+6,$H27&gt;=P$7),"■","")</f>
        <v/>
      </c>
      <c r="Q27" s="76" t="str">
        <f aca="false">IF(AND($G27&lt;=Q$7+6,$H27&gt;=Q$7),"■","")</f>
        <v/>
      </c>
      <c r="R27" s="76" t="str">
        <f aca="false">IF(AND($G27&lt;=R$7+6,$H27&gt;=R$7),"■","")</f>
        <v/>
      </c>
      <c r="S27" s="76" t="str">
        <f aca="false">IF(AND($G27&lt;=S$7+6,$H27&gt;=S$7),"■","")</f>
        <v/>
      </c>
      <c r="T27" s="76" t="str">
        <f aca="false">IF(AND($G27&lt;=T$7+6,$H27&gt;=T$7),"■","")</f>
        <v/>
      </c>
      <c r="U27" s="76" t="str">
        <f aca="false">IF(AND($G27&lt;=U$7+6,$H27&gt;=U$7),"■","")</f>
        <v/>
      </c>
      <c r="V27" s="76" t="str">
        <f aca="false">IF(AND($G27&lt;=V$7+6,$H27&gt;=V$7),"■","")</f>
        <v/>
      </c>
      <c r="W27" s="76" t="str">
        <f aca="false">IF(AND($G27&lt;=W$7+6,$H27&gt;=W$7),"■","")</f>
        <v/>
      </c>
      <c r="X27" s="76" t="str">
        <f aca="false">IF(AND($G27&lt;=X$7+6,$H27&gt;=X$7),"■","")</f>
        <v>■</v>
      </c>
      <c r="Y27" s="76" t="str">
        <f aca="false">IF(AND($G27&lt;=Y$7+6,$H27&gt;=Y$7),"■","")</f>
        <v>■</v>
      </c>
      <c r="Z27" s="76" t="str">
        <f aca="false">IF(AND($G27&lt;=Z$7+6,$H27&gt;=Z$7),"■","")</f>
        <v>■</v>
      </c>
      <c r="AA27" s="76" t="str">
        <f aca="false">IF(AND($G27&lt;=AA$7+6,$H27&gt;=AA$7),"■","")</f>
        <v/>
      </c>
      <c r="AB27" s="76" t="str">
        <f aca="false">IF(AND($G27&lt;=AB$7+6,$H27&gt;=AB$7),"■","")</f>
        <v/>
      </c>
      <c r="AC27" s="76" t="str">
        <f aca="false">IF(AND($G27&lt;=AC$7+6,$H27&gt;=AC$7),"■","")</f>
        <v/>
      </c>
      <c r="AD27" s="76" t="str">
        <f aca="false">IF(AND($G27&lt;=AD$7+6,$H27&gt;=AD$7),"■","")</f>
        <v/>
      </c>
      <c r="AE27" s="76" t="str">
        <f aca="false">IF(AND($G27&lt;=AE$7+6,$H27&gt;=AE$7),"■","")</f>
        <v/>
      </c>
      <c r="AF27" s="76" t="str">
        <f aca="false">IF(AND($G27&lt;=AF$7+6,$H27&gt;=AF$7),"■","")</f>
        <v/>
      </c>
      <c r="AG27" s="76" t="str">
        <f aca="false">IF(AND($G27&lt;=AG$7+6,$H27&gt;=AG$7),"■","")</f>
        <v/>
      </c>
      <c r="AH27" s="76" t="str">
        <f aca="false">IF(AND($G27&lt;=AH$7+6,$H27&gt;=AH$7),"■","")</f>
        <v/>
      </c>
      <c r="AI27" s="76" t="str">
        <f aca="false">IF(AND($G27&lt;=AI$7+6,$H27&gt;=AI$7),"■","")</f>
        <v/>
      </c>
      <c r="AJ27" s="76" t="str">
        <f aca="false">IF(AND($G27&lt;=AJ$7+6,$H27&gt;=AJ$7),"■","")</f>
        <v/>
      </c>
      <c r="AL27" s="77"/>
      <c r="AM27" s="78"/>
    </row>
    <row r="28" customFormat="false" ht="39.75" hidden="false" customHeight="true" outlineLevel="0" collapsed="false">
      <c r="A28" s="79" t="s">
        <v>235</v>
      </c>
      <c r="B28" s="80" t="s">
        <v>236</v>
      </c>
      <c r="C28" s="81" t="s">
        <v>33</v>
      </c>
      <c r="D28" s="82" t="s">
        <v>132</v>
      </c>
      <c r="E28" s="86" t="s">
        <v>237</v>
      </c>
      <c r="F28" s="86" t="s">
        <v>238</v>
      </c>
      <c r="G28" s="75" t="n">
        <f aca="false">WORKDAY($B$4-1,61,$AL$9:$AL$40)</f>
        <v>46422</v>
      </c>
      <c r="H28" s="75" t="n">
        <f aca="false">WORKDAY($B$4-1,67,$AL$9:$AL$40)</f>
        <v>46433</v>
      </c>
      <c r="I28" s="75" t="n">
        <f aca="false">WORKDAY($B$4-1,67,$AL$9:$AL$40)</f>
        <v>46433</v>
      </c>
      <c r="J28" s="84" t="s">
        <v>229</v>
      </c>
      <c r="K28" s="80" t="s">
        <v>32</v>
      </c>
      <c r="L28" s="80" t="n">
        <f aca="false">NETWORKDAYS(G28,H28,$AL$9:$AL$40)</f>
        <v>7</v>
      </c>
      <c r="M28" s="85" t="str">
        <f aca="false">IF(AND($G28&lt;=M$7+6,$H28&gt;=M$7),"■","")</f>
        <v/>
      </c>
      <c r="N28" s="85" t="str">
        <f aca="false">IF(AND($G28&lt;=N$7+6,$H28&gt;=N$7),"■","")</f>
        <v/>
      </c>
      <c r="O28" s="85" t="str">
        <f aca="false">IF(AND($G28&lt;=O$7+6,$H28&gt;=O$7),"■","")</f>
        <v/>
      </c>
      <c r="P28" s="85" t="str">
        <f aca="false">IF(AND($G28&lt;=P$7+6,$H28&gt;=P$7),"■","")</f>
        <v/>
      </c>
      <c r="Q28" s="85" t="str">
        <f aca="false">IF(AND($G28&lt;=Q$7+6,$H28&gt;=Q$7),"■","")</f>
        <v/>
      </c>
      <c r="R28" s="85" t="str">
        <f aca="false">IF(AND($G28&lt;=R$7+6,$H28&gt;=R$7),"■","")</f>
        <v/>
      </c>
      <c r="S28" s="85" t="str">
        <f aca="false">IF(AND($G28&lt;=S$7+6,$H28&gt;=S$7),"■","")</f>
        <v/>
      </c>
      <c r="T28" s="85" t="str">
        <f aca="false">IF(AND($G28&lt;=T$7+6,$H28&gt;=T$7),"■","")</f>
        <v/>
      </c>
      <c r="U28" s="85" t="str">
        <f aca="false">IF(AND($G28&lt;=U$7+6,$H28&gt;=U$7),"■","")</f>
        <v/>
      </c>
      <c r="V28" s="85" t="str">
        <f aca="false">IF(AND($G28&lt;=V$7+6,$H28&gt;=V$7),"■","")</f>
        <v/>
      </c>
      <c r="W28" s="85" t="str">
        <f aca="false">IF(AND($G28&lt;=W$7+6,$H28&gt;=W$7),"■","")</f>
        <v/>
      </c>
      <c r="X28" s="85" t="str">
        <f aca="false">IF(AND($G28&lt;=X$7+6,$H28&gt;=X$7),"■","")</f>
        <v/>
      </c>
      <c r="Y28" s="85" t="str">
        <f aca="false">IF(AND($G28&lt;=Y$7+6,$H28&gt;=Y$7),"■","")</f>
        <v/>
      </c>
      <c r="Z28" s="85" t="str">
        <f aca="false">IF(AND($G28&lt;=Z$7+6,$H28&gt;=Z$7),"■","")</f>
        <v>■</v>
      </c>
      <c r="AA28" s="85" t="str">
        <f aca="false">IF(AND($G28&lt;=AA$7+6,$H28&gt;=AA$7),"■","")</f>
        <v>■</v>
      </c>
      <c r="AB28" s="85" t="str">
        <f aca="false">IF(AND($G28&lt;=AB$7+6,$H28&gt;=AB$7),"■","")</f>
        <v>■</v>
      </c>
      <c r="AC28" s="85" t="str">
        <f aca="false">IF(AND($G28&lt;=AC$7+6,$H28&gt;=AC$7),"■","")</f>
        <v/>
      </c>
      <c r="AD28" s="85" t="str">
        <f aca="false">IF(AND($G28&lt;=AD$7+6,$H28&gt;=AD$7),"■","")</f>
        <v/>
      </c>
      <c r="AE28" s="85" t="str">
        <f aca="false">IF(AND($G28&lt;=AE$7+6,$H28&gt;=AE$7),"■","")</f>
        <v/>
      </c>
      <c r="AF28" s="85" t="str">
        <f aca="false">IF(AND($G28&lt;=AF$7+6,$H28&gt;=AF$7),"■","")</f>
        <v/>
      </c>
      <c r="AG28" s="85" t="str">
        <f aca="false">IF(AND($G28&lt;=AG$7+6,$H28&gt;=AG$7),"■","")</f>
        <v/>
      </c>
      <c r="AH28" s="85" t="str">
        <f aca="false">IF(AND($G28&lt;=AH$7+6,$H28&gt;=AH$7),"■","")</f>
        <v/>
      </c>
      <c r="AI28" s="85" t="str">
        <f aca="false">IF(AND($G28&lt;=AI$7+6,$H28&gt;=AI$7),"■","")</f>
        <v/>
      </c>
      <c r="AJ28" s="85" t="str">
        <f aca="false">IF(AND($G28&lt;=AJ$7+6,$H28&gt;=AJ$7),"■","")</f>
        <v/>
      </c>
      <c r="AL28" s="77"/>
      <c r="AM28" s="78"/>
    </row>
    <row r="29" customFormat="false" ht="39.75" hidden="false" customHeight="true" outlineLevel="0" collapsed="false">
      <c r="A29" s="71" t="s">
        <v>239</v>
      </c>
      <c r="B29" s="72" t="s">
        <v>230</v>
      </c>
      <c r="C29" s="73" t="s">
        <v>240</v>
      </c>
      <c r="D29" s="74" t="s">
        <v>232</v>
      </c>
      <c r="E29" s="74" t="s">
        <v>134</v>
      </c>
      <c r="F29" s="74" t="s">
        <v>241</v>
      </c>
      <c r="G29" s="75" t="n">
        <f aca="false">WORKDAY($B$4-1,69,$AL$9:$AL$40)</f>
        <v>46435</v>
      </c>
      <c r="H29" s="75" t="n">
        <f aca="false">WORKDAY($B$4-1,76,$AL$9:$AL$40)</f>
        <v>46447</v>
      </c>
      <c r="I29" s="75" t="s">
        <v>134</v>
      </c>
      <c r="J29" s="72" t="s">
        <v>242</v>
      </c>
      <c r="K29" s="72" t="s">
        <v>32</v>
      </c>
      <c r="L29" s="72" t="n">
        <f aca="false">NETWORKDAYS(G29,H29,$AL$9:$AL$40)</f>
        <v>8</v>
      </c>
      <c r="M29" s="76" t="str">
        <f aca="false">IF(AND($G29&lt;=M$7+6,$H29&gt;=M$7),"■","")</f>
        <v/>
      </c>
      <c r="N29" s="76" t="str">
        <f aca="false">IF(AND($G29&lt;=N$7+6,$H29&gt;=N$7),"■","")</f>
        <v/>
      </c>
      <c r="O29" s="76" t="str">
        <f aca="false">IF(AND($G29&lt;=O$7+6,$H29&gt;=O$7),"■","")</f>
        <v/>
      </c>
      <c r="P29" s="76" t="str">
        <f aca="false">IF(AND($G29&lt;=P$7+6,$H29&gt;=P$7),"■","")</f>
        <v/>
      </c>
      <c r="Q29" s="76" t="str">
        <f aca="false">IF(AND($G29&lt;=Q$7+6,$H29&gt;=Q$7),"■","")</f>
        <v/>
      </c>
      <c r="R29" s="76" t="str">
        <f aca="false">IF(AND($G29&lt;=R$7+6,$H29&gt;=R$7),"■","")</f>
        <v/>
      </c>
      <c r="S29" s="76" t="str">
        <f aca="false">IF(AND($G29&lt;=S$7+6,$H29&gt;=S$7),"■","")</f>
        <v/>
      </c>
      <c r="T29" s="76" t="str">
        <f aca="false">IF(AND($G29&lt;=T$7+6,$H29&gt;=T$7),"■","")</f>
        <v/>
      </c>
      <c r="U29" s="76" t="str">
        <f aca="false">IF(AND($G29&lt;=U$7+6,$H29&gt;=U$7),"■","")</f>
        <v/>
      </c>
      <c r="V29" s="76" t="str">
        <f aca="false">IF(AND($G29&lt;=V$7+6,$H29&gt;=V$7),"■","")</f>
        <v/>
      </c>
      <c r="W29" s="76" t="str">
        <f aca="false">IF(AND($G29&lt;=W$7+6,$H29&gt;=W$7),"■","")</f>
        <v/>
      </c>
      <c r="X29" s="76" t="str">
        <f aca="false">IF(AND($G29&lt;=X$7+6,$H29&gt;=X$7),"■","")</f>
        <v/>
      </c>
      <c r="Y29" s="76" t="str">
        <f aca="false">IF(AND($G29&lt;=Y$7+6,$H29&gt;=Y$7),"■","")</f>
        <v/>
      </c>
      <c r="Z29" s="76" t="str">
        <f aca="false">IF(AND($G29&lt;=Z$7+6,$H29&gt;=Z$7),"■","")</f>
        <v/>
      </c>
      <c r="AA29" s="76" t="str">
        <f aca="false">IF(AND($G29&lt;=AA$7+6,$H29&gt;=AA$7),"■","")</f>
        <v/>
      </c>
      <c r="AB29" s="76" t="str">
        <f aca="false">IF(AND($G29&lt;=AB$7+6,$H29&gt;=AB$7),"■","")</f>
        <v>■</v>
      </c>
      <c r="AC29" s="76" t="str">
        <f aca="false">IF(AND($G29&lt;=AC$7+6,$H29&gt;=AC$7),"■","")</f>
        <v>■</v>
      </c>
      <c r="AD29" s="76" t="str">
        <f aca="false">IF(AND($G29&lt;=AD$7+6,$H29&gt;=AD$7),"■","")</f>
        <v>■</v>
      </c>
      <c r="AE29" s="76" t="str">
        <f aca="false">IF(AND($G29&lt;=AE$7+6,$H29&gt;=AE$7),"■","")</f>
        <v/>
      </c>
      <c r="AF29" s="76" t="str">
        <f aca="false">IF(AND($G29&lt;=AF$7+6,$H29&gt;=AF$7),"■","")</f>
        <v/>
      </c>
      <c r="AG29" s="76" t="str">
        <f aca="false">IF(AND($G29&lt;=AG$7+6,$H29&gt;=AG$7),"■","")</f>
        <v/>
      </c>
      <c r="AH29" s="76" t="str">
        <f aca="false">IF(AND($G29&lt;=AH$7+6,$H29&gt;=AH$7),"■","")</f>
        <v/>
      </c>
      <c r="AI29" s="76" t="str">
        <f aca="false">IF(AND($G29&lt;=AI$7+6,$H29&gt;=AI$7),"■","")</f>
        <v/>
      </c>
      <c r="AJ29" s="76" t="str">
        <f aca="false">IF(AND($G29&lt;=AJ$7+6,$H29&gt;=AJ$7),"■","")</f>
        <v/>
      </c>
      <c r="AL29" s="77"/>
      <c r="AM29" s="78"/>
    </row>
    <row r="30" customFormat="false" ht="39.75" hidden="false" customHeight="true" outlineLevel="0" collapsed="false">
      <c r="A30" s="79" t="s">
        <v>243</v>
      </c>
      <c r="B30" s="80" t="s">
        <v>244</v>
      </c>
      <c r="C30" s="81" t="s">
        <v>245</v>
      </c>
      <c r="D30" s="82" t="s">
        <v>246</v>
      </c>
      <c r="E30" s="83" t="s">
        <v>134</v>
      </c>
      <c r="F30" s="86" t="s">
        <v>247</v>
      </c>
      <c r="G30" s="75" t="n">
        <f aca="false">WORKDAY($B$4-1,77,$AL$9:$AL$40)</f>
        <v>46448</v>
      </c>
      <c r="H30" s="75" t="n">
        <f aca="false">WORKDAY($B$4-1,88,$AL$9:$AL$40)</f>
        <v>46463</v>
      </c>
      <c r="I30" s="75" t="s">
        <v>134</v>
      </c>
      <c r="J30" s="84" t="s">
        <v>239</v>
      </c>
      <c r="K30" s="80" t="s">
        <v>32</v>
      </c>
      <c r="L30" s="80" t="n">
        <f aca="false">NETWORKDAYS(G30,H30,$AL$9:$AL$40)</f>
        <v>12</v>
      </c>
      <c r="M30" s="85" t="str">
        <f aca="false">IF(AND($G30&lt;=M$7+6,$H30&gt;=M$7),"■","")</f>
        <v/>
      </c>
      <c r="N30" s="85" t="str">
        <f aca="false">IF(AND($G30&lt;=N$7+6,$H30&gt;=N$7),"■","")</f>
        <v/>
      </c>
      <c r="O30" s="85" t="str">
        <f aca="false">IF(AND($G30&lt;=O$7+6,$H30&gt;=O$7),"■","")</f>
        <v/>
      </c>
      <c r="P30" s="85" t="str">
        <f aca="false">IF(AND($G30&lt;=P$7+6,$H30&gt;=P$7),"■","")</f>
        <v/>
      </c>
      <c r="Q30" s="85" t="str">
        <f aca="false">IF(AND($G30&lt;=Q$7+6,$H30&gt;=Q$7),"■","")</f>
        <v/>
      </c>
      <c r="R30" s="85" t="str">
        <f aca="false">IF(AND($G30&lt;=R$7+6,$H30&gt;=R$7),"■","")</f>
        <v/>
      </c>
      <c r="S30" s="85" t="str">
        <f aca="false">IF(AND($G30&lt;=S$7+6,$H30&gt;=S$7),"■","")</f>
        <v/>
      </c>
      <c r="T30" s="85" t="str">
        <f aca="false">IF(AND($G30&lt;=T$7+6,$H30&gt;=T$7),"■","")</f>
        <v/>
      </c>
      <c r="U30" s="85" t="str">
        <f aca="false">IF(AND($G30&lt;=U$7+6,$H30&gt;=U$7),"■","")</f>
        <v/>
      </c>
      <c r="V30" s="85" t="str">
        <f aca="false">IF(AND($G30&lt;=V$7+6,$H30&gt;=V$7),"■","")</f>
        <v/>
      </c>
      <c r="W30" s="85" t="str">
        <f aca="false">IF(AND($G30&lt;=W$7+6,$H30&gt;=W$7),"■","")</f>
        <v/>
      </c>
      <c r="X30" s="85" t="str">
        <f aca="false">IF(AND($G30&lt;=X$7+6,$H30&gt;=X$7),"■","")</f>
        <v/>
      </c>
      <c r="Y30" s="85" t="str">
        <f aca="false">IF(AND($G30&lt;=Y$7+6,$H30&gt;=Y$7),"■","")</f>
        <v/>
      </c>
      <c r="Z30" s="85" t="str">
        <f aca="false">IF(AND($G30&lt;=Z$7+6,$H30&gt;=Z$7),"■","")</f>
        <v/>
      </c>
      <c r="AA30" s="85" t="str">
        <f aca="false">IF(AND($G30&lt;=AA$7+6,$H30&gt;=AA$7),"■","")</f>
        <v/>
      </c>
      <c r="AB30" s="85" t="str">
        <f aca="false">IF(AND($G30&lt;=AB$7+6,$H30&gt;=AB$7),"■","")</f>
        <v/>
      </c>
      <c r="AC30" s="85" t="str">
        <f aca="false">IF(AND($G30&lt;=AC$7+6,$H30&gt;=AC$7),"■","")</f>
        <v/>
      </c>
      <c r="AD30" s="85" t="str">
        <f aca="false">IF(AND($G30&lt;=AD$7+6,$H30&gt;=AD$7),"■","")</f>
        <v>■</v>
      </c>
      <c r="AE30" s="85" t="str">
        <f aca="false">IF(AND($G30&lt;=AE$7+6,$H30&gt;=AE$7),"■","")</f>
        <v>■</v>
      </c>
      <c r="AF30" s="85" t="str">
        <f aca="false">IF(AND($G30&lt;=AF$7+6,$H30&gt;=AF$7),"■","")</f>
        <v>■</v>
      </c>
      <c r="AG30" s="85" t="str">
        <f aca="false">IF(AND($G30&lt;=AG$7+6,$H30&gt;=AG$7),"■","")</f>
        <v/>
      </c>
      <c r="AH30" s="85" t="str">
        <f aca="false">IF(AND($G30&lt;=AH$7+6,$H30&gt;=AH$7),"■","")</f>
        <v/>
      </c>
      <c r="AI30" s="85" t="str">
        <f aca="false">IF(AND($G30&lt;=AI$7+6,$H30&gt;=AI$7),"■","")</f>
        <v/>
      </c>
      <c r="AJ30" s="85" t="str">
        <f aca="false">IF(AND($G30&lt;=AJ$7+6,$H30&gt;=AJ$7),"■","")</f>
        <v/>
      </c>
      <c r="AL30" s="77"/>
      <c r="AM30" s="78"/>
    </row>
    <row r="31" customFormat="false" ht="39.75" hidden="false" customHeight="true" outlineLevel="0" collapsed="false">
      <c r="A31" s="71" t="s">
        <v>248</v>
      </c>
      <c r="B31" s="72" t="s">
        <v>249</v>
      </c>
      <c r="C31" s="73" t="s">
        <v>250</v>
      </c>
      <c r="D31" s="74" t="s">
        <v>251</v>
      </c>
      <c r="E31" s="74" t="s">
        <v>134</v>
      </c>
      <c r="F31" s="74" t="s">
        <v>252</v>
      </c>
      <c r="G31" s="75" t="n">
        <f aca="false">WORKDAY($B$4-1,89,$AL$9:$AL$40)</f>
        <v>46464</v>
      </c>
      <c r="H31" s="75" t="n">
        <f aca="false">WORKDAY($B$4-1,91,$AL$9:$AL$40)</f>
        <v>46469</v>
      </c>
      <c r="I31" s="75" t="s">
        <v>134</v>
      </c>
      <c r="J31" s="72" t="s">
        <v>243</v>
      </c>
      <c r="K31" s="72" t="s">
        <v>32</v>
      </c>
      <c r="L31" s="72" t="n">
        <f aca="false">NETWORKDAYS(G31,H31,$AL$9:$AL$40)</f>
        <v>3</v>
      </c>
      <c r="M31" s="76" t="str">
        <f aca="false">IF(AND($G31&lt;=M$7+6,$H31&gt;=M$7),"■","")</f>
        <v/>
      </c>
      <c r="N31" s="76" t="str">
        <f aca="false">IF(AND($G31&lt;=N$7+6,$H31&gt;=N$7),"■","")</f>
        <v/>
      </c>
      <c r="O31" s="76" t="str">
        <f aca="false">IF(AND($G31&lt;=O$7+6,$H31&gt;=O$7),"■","")</f>
        <v/>
      </c>
      <c r="P31" s="76" t="str">
        <f aca="false">IF(AND($G31&lt;=P$7+6,$H31&gt;=P$7),"■","")</f>
        <v/>
      </c>
      <c r="Q31" s="76" t="str">
        <f aca="false">IF(AND($G31&lt;=Q$7+6,$H31&gt;=Q$7),"■","")</f>
        <v/>
      </c>
      <c r="R31" s="76" t="str">
        <f aca="false">IF(AND($G31&lt;=R$7+6,$H31&gt;=R$7),"■","")</f>
        <v/>
      </c>
      <c r="S31" s="76" t="str">
        <f aca="false">IF(AND($G31&lt;=S$7+6,$H31&gt;=S$7),"■","")</f>
        <v/>
      </c>
      <c r="T31" s="76" t="str">
        <f aca="false">IF(AND($G31&lt;=T$7+6,$H31&gt;=T$7),"■","")</f>
        <v/>
      </c>
      <c r="U31" s="76" t="str">
        <f aca="false">IF(AND($G31&lt;=U$7+6,$H31&gt;=U$7),"■","")</f>
        <v/>
      </c>
      <c r="V31" s="76" t="str">
        <f aca="false">IF(AND($G31&lt;=V$7+6,$H31&gt;=V$7),"■","")</f>
        <v/>
      </c>
      <c r="W31" s="76" t="str">
        <f aca="false">IF(AND($G31&lt;=W$7+6,$H31&gt;=W$7),"■","")</f>
        <v/>
      </c>
      <c r="X31" s="76" t="str">
        <f aca="false">IF(AND($G31&lt;=X$7+6,$H31&gt;=X$7),"■","")</f>
        <v/>
      </c>
      <c r="Y31" s="76" t="str">
        <f aca="false">IF(AND($G31&lt;=Y$7+6,$H31&gt;=Y$7),"■","")</f>
        <v/>
      </c>
      <c r="Z31" s="76" t="str">
        <f aca="false">IF(AND($G31&lt;=Z$7+6,$H31&gt;=Z$7),"■","")</f>
        <v/>
      </c>
      <c r="AA31" s="76" t="str">
        <f aca="false">IF(AND($G31&lt;=AA$7+6,$H31&gt;=AA$7),"■","")</f>
        <v/>
      </c>
      <c r="AB31" s="76" t="str">
        <f aca="false">IF(AND($G31&lt;=AB$7+6,$H31&gt;=AB$7),"■","")</f>
        <v/>
      </c>
      <c r="AC31" s="76" t="str">
        <f aca="false">IF(AND($G31&lt;=AC$7+6,$H31&gt;=AC$7),"■","")</f>
        <v/>
      </c>
      <c r="AD31" s="76" t="str">
        <f aca="false">IF(AND($G31&lt;=AD$7+6,$H31&gt;=AD$7),"■","")</f>
        <v/>
      </c>
      <c r="AE31" s="76" t="str">
        <f aca="false">IF(AND($G31&lt;=AE$7+6,$H31&gt;=AE$7),"■","")</f>
        <v/>
      </c>
      <c r="AF31" s="76" t="str">
        <f aca="false">IF(AND($G31&lt;=AF$7+6,$H31&gt;=AF$7),"■","")</f>
        <v>■</v>
      </c>
      <c r="AG31" s="76" t="str">
        <f aca="false">IF(AND($G31&lt;=AG$7+6,$H31&gt;=AG$7),"■","")</f>
        <v>■</v>
      </c>
      <c r="AH31" s="76" t="str">
        <f aca="false">IF(AND($G31&lt;=AH$7+6,$H31&gt;=AH$7),"■","")</f>
        <v/>
      </c>
      <c r="AI31" s="76" t="str">
        <f aca="false">IF(AND($G31&lt;=AI$7+6,$H31&gt;=AI$7),"■","")</f>
        <v/>
      </c>
      <c r="AJ31" s="76" t="str">
        <f aca="false">IF(AND($G31&lt;=AJ$7+6,$H31&gt;=AJ$7),"■","")</f>
        <v/>
      </c>
      <c r="AL31" s="77"/>
      <c r="AM31" s="78"/>
    </row>
    <row r="32" customFormat="false" ht="39.75" hidden="false" customHeight="true" outlineLevel="0" collapsed="false">
      <c r="A32" s="79" t="s">
        <v>253</v>
      </c>
      <c r="B32" s="80" t="s">
        <v>254</v>
      </c>
      <c r="C32" s="81" t="s">
        <v>36</v>
      </c>
      <c r="D32" s="82" t="s">
        <v>132</v>
      </c>
      <c r="E32" s="86" t="s">
        <v>144</v>
      </c>
      <c r="F32" s="86" t="s">
        <v>255</v>
      </c>
      <c r="G32" s="75" t="n">
        <f aca="false">WORKDAY($B$4-1,92,$AL$9:$AL$40)</f>
        <v>46470</v>
      </c>
      <c r="H32" s="75" t="n">
        <f aca="false">WORKDAY($B$4-1,98,$AL$9:$AL$40)</f>
        <v>46478</v>
      </c>
      <c r="I32" s="75" t="n">
        <f aca="false">WORKDAY($B$4-1,98,$AL$9:$AL$40)</f>
        <v>46478</v>
      </c>
      <c r="J32" s="84" t="s">
        <v>248</v>
      </c>
      <c r="K32" s="80" t="s">
        <v>32</v>
      </c>
      <c r="L32" s="80" t="n">
        <f aca="false">NETWORKDAYS(G32,H32,$AL$9:$AL$40)</f>
        <v>7</v>
      </c>
      <c r="M32" s="85" t="str">
        <f aca="false">IF(AND($G32&lt;=M$7+6,$H32&gt;=M$7),"■","")</f>
        <v/>
      </c>
      <c r="N32" s="85" t="str">
        <f aca="false">IF(AND($G32&lt;=N$7+6,$H32&gt;=N$7),"■","")</f>
        <v/>
      </c>
      <c r="O32" s="85" t="str">
        <f aca="false">IF(AND($G32&lt;=O$7+6,$H32&gt;=O$7),"■","")</f>
        <v/>
      </c>
      <c r="P32" s="85" t="str">
        <f aca="false">IF(AND($G32&lt;=P$7+6,$H32&gt;=P$7),"■","")</f>
        <v/>
      </c>
      <c r="Q32" s="85" t="str">
        <f aca="false">IF(AND($G32&lt;=Q$7+6,$H32&gt;=Q$7),"■","")</f>
        <v/>
      </c>
      <c r="R32" s="85" t="str">
        <f aca="false">IF(AND($G32&lt;=R$7+6,$H32&gt;=R$7),"■","")</f>
        <v/>
      </c>
      <c r="S32" s="85" t="str">
        <f aca="false">IF(AND($G32&lt;=S$7+6,$H32&gt;=S$7),"■","")</f>
        <v/>
      </c>
      <c r="T32" s="85" t="str">
        <f aca="false">IF(AND($G32&lt;=T$7+6,$H32&gt;=T$7),"■","")</f>
        <v/>
      </c>
      <c r="U32" s="85" t="str">
        <f aca="false">IF(AND($G32&lt;=U$7+6,$H32&gt;=U$7),"■","")</f>
        <v/>
      </c>
      <c r="V32" s="85" t="str">
        <f aca="false">IF(AND($G32&lt;=V$7+6,$H32&gt;=V$7),"■","")</f>
        <v/>
      </c>
      <c r="W32" s="85" t="str">
        <f aca="false">IF(AND($G32&lt;=W$7+6,$H32&gt;=W$7),"■","")</f>
        <v/>
      </c>
      <c r="X32" s="85" t="str">
        <f aca="false">IF(AND($G32&lt;=X$7+6,$H32&gt;=X$7),"■","")</f>
        <v/>
      </c>
      <c r="Y32" s="85" t="str">
        <f aca="false">IF(AND($G32&lt;=Y$7+6,$H32&gt;=Y$7),"■","")</f>
        <v/>
      </c>
      <c r="Z32" s="85" t="str">
        <f aca="false">IF(AND($G32&lt;=Z$7+6,$H32&gt;=Z$7),"■","")</f>
        <v/>
      </c>
      <c r="AA32" s="85" t="str">
        <f aca="false">IF(AND($G32&lt;=AA$7+6,$H32&gt;=AA$7),"■","")</f>
        <v/>
      </c>
      <c r="AB32" s="85" t="str">
        <f aca="false">IF(AND($G32&lt;=AB$7+6,$H32&gt;=AB$7),"■","")</f>
        <v/>
      </c>
      <c r="AC32" s="85" t="str">
        <f aca="false">IF(AND($G32&lt;=AC$7+6,$H32&gt;=AC$7),"■","")</f>
        <v/>
      </c>
      <c r="AD32" s="85" t="str">
        <f aca="false">IF(AND($G32&lt;=AD$7+6,$H32&gt;=AD$7),"■","")</f>
        <v/>
      </c>
      <c r="AE32" s="85" t="str">
        <f aca="false">IF(AND($G32&lt;=AE$7+6,$H32&gt;=AE$7),"■","")</f>
        <v/>
      </c>
      <c r="AF32" s="85" t="str">
        <f aca="false">IF(AND($G32&lt;=AF$7+6,$H32&gt;=AF$7),"■","")</f>
        <v/>
      </c>
      <c r="AG32" s="85" t="str">
        <f aca="false">IF(AND($G32&lt;=AG$7+6,$H32&gt;=AG$7),"■","")</f>
        <v>■</v>
      </c>
      <c r="AH32" s="85" t="str">
        <f aca="false">IF(AND($G32&lt;=AH$7+6,$H32&gt;=AH$7),"■","")</f>
        <v>■</v>
      </c>
      <c r="AI32" s="85" t="str">
        <f aca="false">IF(AND($G32&lt;=AI$7+6,$H32&gt;=AI$7),"■","")</f>
        <v/>
      </c>
      <c r="AJ32" s="85" t="str">
        <f aca="false">IF(AND($G32&lt;=AJ$7+6,$H32&gt;=AJ$7),"■","")</f>
        <v/>
      </c>
      <c r="AL32" s="77"/>
      <c r="AM32" s="78"/>
    </row>
    <row r="33" customFormat="false" ht="39.75" hidden="false" customHeight="true" outlineLevel="0" collapsed="false">
      <c r="A33" s="71" t="s">
        <v>256</v>
      </c>
      <c r="B33" s="72" t="s">
        <v>257</v>
      </c>
      <c r="C33" s="73" t="s">
        <v>258</v>
      </c>
      <c r="D33" s="74" t="s">
        <v>246</v>
      </c>
      <c r="E33" s="74" t="s">
        <v>134</v>
      </c>
      <c r="F33" s="74" t="s">
        <v>259</v>
      </c>
      <c r="G33" s="75" t="n">
        <f aca="false">WORKDAY($B$4-1,99,$AL$9:$AL$40)</f>
        <v>46479</v>
      </c>
      <c r="H33" s="75" t="n">
        <f aca="false">WORKDAY($B$4-1,100,$AL$9:$AL$40)</f>
        <v>46482</v>
      </c>
      <c r="I33" s="75" t="s">
        <v>134</v>
      </c>
      <c r="J33" s="72" t="s">
        <v>253</v>
      </c>
      <c r="K33" s="72" t="s">
        <v>32</v>
      </c>
      <c r="L33" s="72" t="n">
        <f aca="false">NETWORKDAYS(G33,H33,$AL$9:$AL$40)</f>
        <v>2</v>
      </c>
      <c r="M33" s="76" t="str">
        <f aca="false">IF(AND($G33&lt;=M$7+6,$H33&gt;=M$7),"■","")</f>
        <v/>
      </c>
      <c r="N33" s="76" t="str">
        <f aca="false">IF(AND($G33&lt;=N$7+6,$H33&gt;=N$7),"■","")</f>
        <v/>
      </c>
      <c r="O33" s="76" t="str">
        <f aca="false">IF(AND($G33&lt;=O$7+6,$H33&gt;=O$7),"■","")</f>
        <v/>
      </c>
      <c r="P33" s="76" t="str">
        <f aca="false">IF(AND($G33&lt;=P$7+6,$H33&gt;=P$7),"■","")</f>
        <v/>
      </c>
      <c r="Q33" s="76" t="str">
        <f aca="false">IF(AND($G33&lt;=Q$7+6,$H33&gt;=Q$7),"■","")</f>
        <v/>
      </c>
      <c r="R33" s="76" t="str">
        <f aca="false">IF(AND($G33&lt;=R$7+6,$H33&gt;=R$7),"■","")</f>
        <v/>
      </c>
      <c r="S33" s="76" t="str">
        <f aca="false">IF(AND($G33&lt;=S$7+6,$H33&gt;=S$7),"■","")</f>
        <v/>
      </c>
      <c r="T33" s="76" t="str">
        <f aca="false">IF(AND($G33&lt;=T$7+6,$H33&gt;=T$7),"■","")</f>
        <v/>
      </c>
      <c r="U33" s="76" t="str">
        <f aca="false">IF(AND($G33&lt;=U$7+6,$H33&gt;=U$7),"■","")</f>
        <v/>
      </c>
      <c r="V33" s="76" t="str">
        <f aca="false">IF(AND($G33&lt;=V$7+6,$H33&gt;=V$7),"■","")</f>
        <v/>
      </c>
      <c r="W33" s="76" t="str">
        <f aca="false">IF(AND($G33&lt;=W$7+6,$H33&gt;=W$7),"■","")</f>
        <v/>
      </c>
      <c r="X33" s="76" t="str">
        <f aca="false">IF(AND($G33&lt;=X$7+6,$H33&gt;=X$7),"■","")</f>
        <v/>
      </c>
      <c r="Y33" s="76" t="str">
        <f aca="false">IF(AND($G33&lt;=Y$7+6,$H33&gt;=Y$7),"■","")</f>
        <v/>
      </c>
      <c r="Z33" s="76" t="str">
        <f aca="false">IF(AND($G33&lt;=Z$7+6,$H33&gt;=Z$7),"■","")</f>
        <v/>
      </c>
      <c r="AA33" s="76" t="str">
        <f aca="false">IF(AND($G33&lt;=AA$7+6,$H33&gt;=AA$7),"■","")</f>
        <v/>
      </c>
      <c r="AB33" s="76" t="str">
        <f aca="false">IF(AND($G33&lt;=AB$7+6,$H33&gt;=AB$7),"■","")</f>
        <v/>
      </c>
      <c r="AC33" s="76" t="str">
        <f aca="false">IF(AND($G33&lt;=AC$7+6,$H33&gt;=AC$7),"■","")</f>
        <v/>
      </c>
      <c r="AD33" s="76" t="str">
        <f aca="false">IF(AND($G33&lt;=AD$7+6,$H33&gt;=AD$7),"■","")</f>
        <v/>
      </c>
      <c r="AE33" s="76" t="str">
        <f aca="false">IF(AND($G33&lt;=AE$7+6,$H33&gt;=AE$7),"■","")</f>
        <v/>
      </c>
      <c r="AF33" s="76" t="str">
        <f aca="false">IF(AND($G33&lt;=AF$7+6,$H33&gt;=AF$7),"■","")</f>
        <v/>
      </c>
      <c r="AG33" s="76" t="str">
        <f aca="false">IF(AND($G33&lt;=AG$7+6,$H33&gt;=AG$7),"■","")</f>
        <v/>
      </c>
      <c r="AH33" s="76" t="str">
        <f aca="false">IF(AND($G33&lt;=AH$7+6,$H33&gt;=AH$7),"■","")</f>
        <v>■</v>
      </c>
      <c r="AI33" s="76" t="str">
        <f aca="false">IF(AND($G33&lt;=AI$7+6,$H33&gt;=AI$7),"■","")</f>
        <v>■</v>
      </c>
      <c r="AJ33" s="76" t="str">
        <f aca="false">IF(AND($G33&lt;=AJ$7+6,$H33&gt;=AJ$7),"■","")</f>
        <v/>
      </c>
      <c r="AL33" s="77"/>
      <c r="AM33" s="78"/>
    </row>
    <row r="34" customFormat="false" ht="39.75" hidden="false" customHeight="true" outlineLevel="0" collapsed="false">
      <c r="A34" s="79" t="s">
        <v>260</v>
      </c>
      <c r="B34" s="80" t="s">
        <v>39</v>
      </c>
      <c r="C34" s="81" t="s">
        <v>261</v>
      </c>
      <c r="D34" s="82" t="s">
        <v>246</v>
      </c>
      <c r="E34" s="86" t="s">
        <v>132</v>
      </c>
      <c r="F34" s="86" t="s">
        <v>262</v>
      </c>
      <c r="G34" s="75" t="n">
        <f aca="false">WORKDAY($B$4-1,101,$AL$9:$AL$40)</f>
        <v>46483</v>
      </c>
      <c r="H34" s="75" t="n">
        <f aca="false">WORKDAY($B$4-1,101,$AL$9:$AL$40)</f>
        <v>46483</v>
      </c>
      <c r="I34" s="75" t="s">
        <v>134</v>
      </c>
      <c r="J34" s="84" t="s">
        <v>256</v>
      </c>
      <c r="K34" s="80" t="s">
        <v>32</v>
      </c>
      <c r="L34" s="80" t="n">
        <f aca="false">NETWORKDAYS(G34,H34,$AL$9:$AL$40)</f>
        <v>1</v>
      </c>
      <c r="M34" s="85" t="str">
        <f aca="false">IF(AND($G34&lt;=M$7+6,$H34&gt;=M$7),"■","")</f>
        <v/>
      </c>
      <c r="N34" s="85" t="str">
        <f aca="false">IF(AND($G34&lt;=N$7+6,$H34&gt;=N$7),"■","")</f>
        <v/>
      </c>
      <c r="O34" s="85" t="str">
        <f aca="false">IF(AND($G34&lt;=O$7+6,$H34&gt;=O$7),"■","")</f>
        <v/>
      </c>
      <c r="P34" s="85" t="str">
        <f aca="false">IF(AND($G34&lt;=P$7+6,$H34&gt;=P$7),"■","")</f>
        <v/>
      </c>
      <c r="Q34" s="85" t="str">
        <f aca="false">IF(AND($G34&lt;=Q$7+6,$H34&gt;=Q$7),"■","")</f>
        <v/>
      </c>
      <c r="R34" s="85" t="str">
        <f aca="false">IF(AND($G34&lt;=R$7+6,$H34&gt;=R$7),"■","")</f>
        <v/>
      </c>
      <c r="S34" s="85" t="str">
        <f aca="false">IF(AND($G34&lt;=S$7+6,$H34&gt;=S$7),"■","")</f>
        <v/>
      </c>
      <c r="T34" s="85" t="str">
        <f aca="false">IF(AND($G34&lt;=T$7+6,$H34&gt;=T$7),"■","")</f>
        <v/>
      </c>
      <c r="U34" s="85" t="str">
        <f aca="false">IF(AND($G34&lt;=U$7+6,$H34&gt;=U$7),"■","")</f>
        <v/>
      </c>
      <c r="V34" s="85" t="str">
        <f aca="false">IF(AND($G34&lt;=V$7+6,$H34&gt;=V$7),"■","")</f>
        <v/>
      </c>
      <c r="W34" s="85" t="str">
        <f aca="false">IF(AND($G34&lt;=W$7+6,$H34&gt;=W$7),"■","")</f>
        <v/>
      </c>
      <c r="X34" s="85" t="str">
        <f aca="false">IF(AND($G34&lt;=X$7+6,$H34&gt;=X$7),"■","")</f>
        <v/>
      </c>
      <c r="Y34" s="85" t="str">
        <f aca="false">IF(AND($G34&lt;=Y$7+6,$H34&gt;=Y$7),"■","")</f>
        <v/>
      </c>
      <c r="Z34" s="85" t="str">
        <f aca="false">IF(AND($G34&lt;=Z$7+6,$H34&gt;=Z$7),"■","")</f>
        <v/>
      </c>
      <c r="AA34" s="85" t="str">
        <f aca="false">IF(AND($G34&lt;=AA$7+6,$H34&gt;=AA$7),"■","")</f>
        <v/>
      </c>
      <c r="AB34" s="85" t="str">
        <f aca="false">IF(AND($G34&lt;=AB$7+6,$H34&gt;=AB$7),"■","")</f>
        <v/>
      </c>
      <c r="AC34" s="85" t="str">
        <f aca="false">IF(AND($G34&lt;=AC$7+6,$H34&gt;=AC$7),"■","")</f>
        <v/>
      </c>
      <c r="AD34" s="85" t="str">
        <f aca="false">IF(AND($G34&lt;=AD$7+6,$H34&gt;=AD$7),"■","")</f>
        <v/>
      </c>
      <c r="AE34" s="85" t="str">
        <f aca="false">IF(AND($G34&lt;=AE$7+6,$H34&gt;=AE$7),"■","")</f>
        <v/>
      </c>
      <c r="AF34" s="85" t="str">
        <f aca="false">IF(AND($G34&lt;=AF$7+6,$H34&gt;=AF$7),"■","")</f>
        <v/>
      </c>
      <c r="AG34" s="85" t="str">
        <f aca="false">IF(AND($G34&lt;=AG$7+6,$H34&gt;=AG$7),"■","")</f>
        <v/>
      </c>
      <c r="AH34" s="85" t="str">
        <f aca="false">IF(AND($G34&lt;=AH$7+6,$H34&gt;=AH$7),"■","")</f>
        <v/>
      </c>
      <c r="AI34" s="85" t="str">
        <f aca="false">IF(AND($G34&lt;=AI$7+6,$H34&gt;=AI$7),"■","")</f>
        <v>■</v>
      </c>
      <c r="AJ34" s="85" t="str">
        <f aca="false">IF(AND($G34&lt;=AJ$7+6,$H34&gt;=AJ$7),"■","")</f>
        <v/>
      </c>
      <c r="AL34" s="77"/>
      <c r="AM34" s="78"/>
    </row>
  </sheetData>
  <mergeCells count="2">
    <mergeCell ref="A5:AJ5"/>
    <mergeCell ref="A6:AJ6"/>
  </mergeCells>
  <conditionalFormatting sqref="M9:AJ34">
    <cfRule type="expression" priority="2" aboveAverage="0" equalAverage="0" bottom="0" percent="0" rank="0" text="" dxfId="16">
      <formula>AND(M9="■",OR($D9="広報窓口",$D9="代表",$D9="技術営業課",$D9="品質管理課",$D9="製造部"))</formula>
    </cfRule>
    <cfRule type="expression" priority="3" aboveAverage="0" equalAverage="0" bottom="0" percent="0" rank="0" text="" dxfId="17">
      <formula>AND(M9="■",$B9="取材撮影")</formula>
    </cfRule>
    <cfRule type="expression" priority="4" aboveAverage="0" equalAverage="0" bottom="0" percent="0" rank="0" text="" dxfId="18">
      <formula>M9="■"</formula>
    </cfRule>
  </conditionalFormatting>
  <conditionalFormatting sqref="K9:K34">
    <cfRule type="cellIs" priority="5" operator="equal" aboveAverage="0" equalAverage="0" bottom="0" percent="0" rank="0" text="" dxfId="9">
      <formula>"未着手"</formula>
    </cfRule>
    <cfRule type="cellIs" priority="6" operator="equal" aboveAverage="0" equalAverage="0" bottom="0" percent="0" rank="0" text="" dxfId="10">
      <formula>"進行中"</formula>
    </cfRule>
    <cfRule type="cellIs" priority="7" operator="equal" aboveAverage="0" equalAverage="0" bottom="0" percent="0" rank="0" text="" dxfId="11">
      <formula>"確認待ち"</formula>
    </cfRule>
    <cfRule type="cellIs" priority="8" operator="equal" aboveAverage="0" equalAverage="0" bottom="0" percent="0" rank="0" text="" dxfId="12">
      <formula>"完了"</formula>
    </cfRule>
    <cfRule type="cellIs" priority="9" operator="equal" aboveAverage="0" equalAverage="0" bottom="0" percent="0" rank="0" text="" dxfId="13">
      <formula>"要調整"</formula>
    </cfRule>
  </conditionalFormatting>
  <dataValidations count="1">
    <dataValidation allowBlank="true" errorStyle="stop" operator="between" showDropDown="false" showErrorMessage="false" showInputMessage="false" sqref="K9:K34" type="list">
      <formula1>"未着手,進行中,確認待ち,完了,要調整"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869E"/>
    <pageSetUpPr fitToPage="true"/>
  </sheetPr>
  <dimension ref="A1:M59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.5"/>
    <col collapsed="false" customWidth="true" hidden="false" outlineLevel="0" max="2" min="2" style="1" width="26.88"/>
    <col collapsed="false" customWidth="true" hidden="false" outlineLevel="0" max="3" min="3" style="1" width="21.25"/>
    <col collapsed="false" customWidth="true" hidden="false" outlineLevel="0" max="4" min="4" style="1" width="23.13"/>
    <col collapsed="false" customWidth="true" hidden="false" outlineLevel="0" max="5" min="5" style="1" width="12.5"/>
    <col collapsed="false" customWidth="true" hidden="false" outlineLevel="0" max="6" min="6" style="1" width="29.38"/>
    <col collapsed="false" customWidth="true" hidden="false" outlineLevel="0" max="7" min="7" style="1" width="19.38"/>
    <col collapsed="false" customWidth="true" hidden="false" outlineLevel="0" max="8" min="8" style="1" width="18.75"/>
    <col collapsed="false" customWidth="true" hidden="false" outlineLevel="0" max="9" min="9" style="1" width="10"/>
    <col collapsed="false" customWidth="true" hidden="false" outlineLevel="0" max="10" min="10" style="1" width="23.75"/>
    <col collapsed="false" customWidth="true" hidden="false" outlineLevel="0" max="11" min="11" style="1" width="29.38"/>
    <col collapsed="false" customWidth="true" hidden="false" outlineLevel="0" max="13" min="12" style="1" width="12.5"/>
  </cols>
  <sheetData>
    <row r="1" customFormat="false" ht="6" hidden="false" customHeight="true" outlineLevel="0" collapsed="false">
      <c r="A1" s="60"/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customFormat="false" ht="36" hidden="false" customHeight="true" outlineLevel="0" collapsed="false">
      <c r="A2" s="29" t="s">
        <v>263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customFormat="false" ht="18" hidden="false" customHeight="true" outlineLevel="0" collapsed="false">
      <c r="A3" s="62" t="s">
        <v>264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customFormat="false" ht="24.75" hidden="false" customHeight="true" outlineLevel="0" collapsed="false">
      <c r="A4" s="67" t="s">
        <v>265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customFormat="false" ht="24.75" hidden="false" customHeight="true" outlineLevel="0" collapsed="false">
      <c r="A5" s="67" t="s">
        <v>266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</row>
    <row r="6" customFormat="false" ht="24.75" hidden="false" customHeight="true" outlineLevel="0" collapsed="false">
      <c r="A6" s="67" t="s">
        <v>267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</row>
    <row r="7" customFormat="false" ht="15" hidden="false" customHeight="true" outlineLevel="0" collapsed="false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</row>
    <row r="8" customFormat="false" ht="33.75" hidden="false" customHeight="true" outlineLevel="0" collapsed="false">
      <c r="A8" s="10" t="s">
        <v>268</v>
      </c>
      <c r="B8" s="10" t="s">
        <v>269</v>
      </c>
      <c r="C8" s="10" t="s">
        <v>270</v>
      </c>
      <c r="D8" s="10" t="s">
        <v>271</v>
      </c>
      <c r="E8" s="10" t="s">
        <v>272</v>
      </c>
      <c r="F8" s="10" t="s">
        <v>273</v>
      </c>
      <c r="G8" s="10" t="s">
        <v>274</v>
      </c>
      <c r="H8" s="10" t="s">
        <v>275</v>
      </c>
      <c r="I8" s="10" t="s">
        <v>276</v>
      </c>
      <c r="J8" s="10" t="s">
        <v>277</v>
      </c>
      <c r="K8" s="10" t="s">
        <v>278</v>
      </c>
      <c r="L8" s="10" t="s">
        <v>279</v>
      </c>
      <c r="M8" s="10" t="s">
        <v>280</v>
      </c>
    </row>
    <row r="9" customFormat="false" ht="39.75" hidden="false" customHeight="true" outlineLevel="0" collapsed="false">
      <c r="A9" s="87" t="s">
        <v>281</v>
      </c>
      <c r="B9" s="73" t="s">
        <v>282</v>
      </c>
      <c r="C9" s="74" t="s">
        <v>283</v>
      </c>
      <c r="D9" s="74" t="s">
        <v>284</v>
      </c>
      <c r="E9" s="72" t="s">
        <v>285</v>
      </c>
      <c r="F9" s="74" t="s">
        <v>286</v>
      </c>
      <c r="G9" s="74" t="s">
        <v>135</v>
      </c>
      <c r="H9" s="74" t="s">
        <v>287</v>
      </c>
      <c r="I9" s="88" t="s">
        <v>288</v>
      </c>
      <c r="J9" s="74" t="s">
        <v>289</v>
      </c>
      <c r="K9" s="74" t="s">
        <v>290</v>
      </c>
      <c r="L9" s="72" t="s">
        <v>232</v>
      </c>
      <c r="M9" s="72" t="s">
        <v>291</v>
      </c>
    </row>
    <row r="10" customFormat="false" ht="39.75" hidden="false" customHeight="true" outlineLevel="0" collapsed="false">
      <c r="A10" s="89" t="s">
        <v>292</v>
      </c>
      <c r="B10" s="81" t="s">
        <v>293</v>
      </c>
      <c r="C10" s="82" t="s">
        <v>283</v>
      </c>
      <c r="D10" s="82" t="s">
        <v>294</v>
      </c>
      <c r="E10" s="80" t="s">
        <v>295</v>
      </c>
      <c r="F10" s="82" t="s">
        <v>296</v>
      </c>
      <c r="G10" s="82" t="s">
        <v>135</v>
      </c>
      <c r="H10" s="82" t="s">
        <v>297</v>
      </c>
      <c r="I10" s="84" t="s">
        <v>298</v>
      </c>
      <c r="J10" s="86" t="s">
        <v>299</v>
      </c>
      <c r="K10" s="86" t="s">
        <v>300</v>
      </c>
      <c r="L10" s="80" t="s">
        <v>198</v>
      </c>
      <c r="M10" s="80" t="s">
        <v>291</v>
      </c>
    </row>
    <row r="11" customFormat="false" ht="39.75" hidden="false" customHeight="true" outlineLevel="0" collapsed="false">
      <c r="A11" s="87" t="s">
        <v>301</v>
      </c>
      <c r="B11" s="73" t="s">
        <v>302</v>
      </c>
      <c r="C11" s="74" t="s">
        <v>283</v>
      </c>
      <c r="D11" s="74" t="s">
        <v>303</v>
      </c>
      <c r="E11" s="72" t="s">
        <v>295</v>
      </c>
      <c r="F11" s="74" t="s">
        <v>304</v>
      </c>
      <c r="G11" s="74" t="s">
        <v>135</v>
      </c>
      <c r="H11" s="74" t="s">
        <v>287</v>
      </c>
      <c r="I11" s="88" t="s">
        <v>288</v>
      </c>
      <c r="J11" s="74" t="s">
        <v>289</v>
      </c>
      <c r="K11" s="74" t="s">
        <v>290</v>
      </c>
      <c r="L11" s="72" t="s">
        <v>232</v>
      </c>
      <c r="M11" s="72" t="s">
        <v>291</v>
      </c>
    </row>
    <row r="12" customFormat="false" ht="39.75" hidden="false" customHeight="true" outlineLevel="0" collapsed="false">
      <c r="A12" s="89" t="s">
        <v>305</v>
      </c>
      <c r="B12" s="81" t="s">
        <v>306</v>
      </c>
      <c r="C12" s="82" t="s">
        <v>283</v>
      </c>
      <c r="D12" s="82" t="s">
        <v>307</v>
      </c>
      <c r="E12" s="80" t="s">
        <v>295</v>
      </c>
      <c r="F12" s="82" t="s">
        <v>308</v>
      </c>
      <c r="G12" s="82" t="s">
        <v>135</v>
      </c>
      <c r="H12" s="82" t="s">
        <v>297</v>
      </c>
      <c r="I12" s="84" t="s">
        <v>298</v>
      </c>
      <c r="J12" s="86" t="s">
        <v>309</v>
      </c>
      <c r="K12" s="86" t="s">
        <v>310</v>
      </c>
      <c r="L12" s="80" t="s">
        <v>198</v>
      </c>
      <c r="M12" s="80" t="s">
        <v>291</v>
      </c>
    </row>
    <row r="13" customFormat="false" ht="39.75" hidden="false" customHeight="true" outlineLevel="0" collapsed="false">
      <c r="A13" s="87" t="s">
        <v>311</v>
      </c>
      <c r="B13" s="73" t="s">
        <v>312</v>
      </c>
      <c r="C13" s="74" t="s">
        <v>313</v>
      </c>
      <c r="D13" s="74" t="s">
        <v>314</v>
      </c>
      <c r="E13" s="72" t="s">
        <v>295</v>
      </c>
      <c r="F13" s="74" t="s">
        <v>315</v>
      </c>
      <c r="G13" s="74" t="s">
        <v>135</v>
      </c>
      <c r="H13" s="74" t="s">
        <v>316</v>
      </c>
      <c r="I13" s="88" t="s">
        <v>317</v>
      </c>
      <c r="J13" s="74" t="s">
        <v>135</v>
      </c>
      <c r="K13" s="74" t="s">
        <v>318</v>
      </c>
      <c r="L13" s="72" t="s">
        <v>198</v>
      </c>
      <c r="M13" s="72" t="s">
        <v>291</v>
      </c>
    </row>
    <row r="14" customFormat="false" ht="39.75" hidden="false" customHeight="true" outlineLevel="0" collapsed="false">
      <c r="A14" s="89" t="s">
        <v>319</v>
      </c>
      <c r="B14" s="81" t="s">
        <v>320</v>
      </c>
      <c r="C14" s="82" t="s">
        <v>313</v>
      </c>
      <c r="D14" s="82" t="s">
        <v>321</v>
      </c>
      <c r="E14" s="80" t="s">
        <v>295</v>
      </c>
      <c r="F14" s="82" t="s">
        <v>322</v>
      </c>
      <c r="G14" s="82" t="s">
        <v>135</v>
      </c>
      <c r="H14" s="82" t="s">
        <v>287</v>
      </c>
      <c r="I14" s="84" t="s">
        <v>288</v>
      </c>
      <c r="J14" s="83" t="s">
        <v>323</v>
      </c>
      <c r="K14" s="86" t="s">
        <v>324</v>
      </c>
      <c r="L14" s="80" t="s">
        <v>232</v>
      </c>
      <c r="M14" s="80" t="s">
        <v>291</v>
      </c>
    </row>
    <row r="15" customFormat="false" ht="39.75" hidden="false" customHeight="true" outlineLevel="0" collapsed="false">
      <c r="A15" s="87" t="s">
        <v>325</v>
      </c>
      <c r="B15" s="73" t="s">
        <v>326</v>
      </c>
      <c r="C15" s="74" t="s">
        <v>313</v>
      </c>
      <c r="D15" s="74" t="s">
        <v>327</v>
      </c>
      <c r="E15" s="72" t="s">
        <v>295</v>
      </c>
      <c r="F15" s="74" t="s">
        <v>328</v>
      </c>
      <c r="G15" s="74" t="s">
        <v>135</v>
      </c>
      <c r="H15" s="74" t="s">
        <v>287</v>
      </c>
      <c r="I15" s="88" t="s">
        <v>288</v>
      </c>
      <c r="J15" s="74" t="s">
        <v>289</v>
      </c>
      <c r="K15" s="74" t="s">
        <v>290</v>
      </c>
      <c r="L15" s="72" t="s">
        <v>232</v>
      </c>
      <c r="M15" s="72" t="s">
        <v>291</v>
      </c>
    </row>
    <row r="16" customFormat="false" ht="39.75" hidden="false" customHeight="true" outlineLevel="0" collapsed="false">
      <c r="A16" s="89" t="s">
        <v>329</v>
      </c>
      <c r="B16" s="81" t="s">
        <v>330</v>
      </c>
      <c r="C16" s="82" t="s">
        <v>313</v>
      </c>
      <c r="D16" s="82" t="s">
        <v>331</v>
      </c>
      <c r="E16" s="80" t="s">
        <v>295</v>
      </c>
      <c r="F16" s="82" t="s">
        <v>332</v>
      </c>
      <c r="G16" s="82" t="s">
        <v>135</v>
      </c>
      <c r="H16" s="82" t="s">
        <v>333</v>
      </c>
      <c r="I16" s="84" t="s">
        <v>334</v>
      </c>
      <c r="J16" s="86" t="s">
        <v>335</v>
      </c>
      <c r="K16" s="86" t="s">
        <v>336</v>
      </c>
      <c r="L16" s="80" t="s">
        <v>198</v>
      </c>
      <c r="M16" s="80" t="s">
        <v>291</v>
      </c>
    </row>
    <row r="17" customFormat="false" ht="39.75" hidden="false" customHeight="true" outlineLevel="0" collapsed="false">
      <c r="A17" s="87" t="s">
        <v>337</v>
      </c>
      <c r="B17" s="73" t="s">
        <v>338</v>
      </c>
      <c r="C17" s="74" t="s">
        <v>313</v>
      </c>
      <c r="D17" s="74" t="s">
        <v>339</v>
      </c>
      <c r="E17" s="72" t="s">
        <v>295</v>
      </c>
      <c r="F17" s="74" t="s">
        <v>340</v>
      </c>
      <c r="G17" s="74" t="s">
        <v>135</v>
      </c>
      <c r="H17" s="74" t="s">
        <v>287</v>
      </c>
      <c r="I17" s="88" t="s">
        <v>288</v>
      </c>
      <c r="J17" s="74" t="s">
        <v>289</v>
      </c>
      <c r="K17" s="74" t="s">
        <v>290</v>
      </c>
      <c r="L17" s="72" t="s">
        <v>232</v>
      </c>
      <c r="M17" s="72" t="s">
        <v>291</v>
      </c>
    </row>
    <row r="18" customFormat="false" ht="39.75" hidden="false" customHeight="true" outlineLevel="0" collapsed="false">
      <c r="A18" s="89" t="s">
        <v>341</v>
      </c>
      <c r="B18" s="81" t="s">
        <v>342</v>
      </c>
      <c r="C18" s="82" t="s">
        <v>343</v>
      </c>
      <c r="D18" s="82" t="s">
        <v>344</v>
      </c>
      <c r="E18" s="80" t="s">
        <v>295</v>
      </c>
      <c r="F18" s="82" t="s">
        <v>345</v>
      </c>
      <c r="G18" s="82" t="s">
        <v>346</v>
      </c>
      <c r="H18" s="82" t="s">
        <v>347</v>
      </c>
      <c r="I18" s="84" t="s">
        <v>348</v>
      </c>
      <c r="J18" s="86" t="s">
        <v>349</v>
      </c>
      <c r="K18" s="86" t="s">
        <v>350</v>
      </c>
      <c r="L18" s="80" t="s">
        <v>198</v>
      </c>
      <c r="M18" s="80" t="s">
        <v>291</v>
      </c>
    </row>
    <row r="19" customFormat="false" ht="39.75" hidden="false" customHeight="true" outlineLevel="0" collapsed="false">
      <c r="A19" s="87" t="s">
        <v>351</v>
      </c>
      <c r="B19" s="73" t="s">
        <v>352</v>
      </c>
      <c r="C19" s="74" t="s">
        <v>353</v>
      </c>
      <c r="D19" s="74" t="s">
        <v>354</v>
      </c>
      <c r="E19" s="72" t="s">
        <v>355</v>
      </c>
      <c r="F19" s="74" t="s">
        <v>356</v>
      </c>
      <c r="G19" s="74" t="s">
        <v>135</v>
      </c>
      <c r="H19" s="74" t="s">
        <v>297</v>
      </c>
      <c r="I19" s="88" t="s">
        <v>357</v>
      </c>
      <c r="J19" s="74" t="s">
        <v>358</v>
      </c>
      <c r="K19" s="74" t="s">
        <v>359</v>
      </c>
      <c r="L19" s="72" t="s">
        <v>198</v>
      </c>
      <c r="M19" s="72" t="s">
        <v>291</v>
      </c>
    </row>
    <row r="20" customFormat="false" ht="39.75" hidden="false" customHeight="true" outlineLevel="0" collapsed="false">
      <c r="A20" s="89" t="s">
        <v>360</v>
      </c>
      <c r="B20" s="81" t="s">
        <v>361</v>
      </c>
      <c r="C20" s="82" t="s">
        <v>362</v>
      </c>
      <c r="D20" s="82" t="s">
        <v>363</v>
      </c>
      <c r="E20" s="80" t="s">
        <v>285</v>
      </c>
      <c r="F20" s="82" t="s">
        <v>364</v>
      </c>
      <c r="G20" s="82" t="s">
        <v>135</v>
      </c>
      <c r="H20" s="82" t="s">
        <v>365</v>
      </c>
      <c r="I20" s="84" t="s">
        <v>366</v>
      </c>
      <c r="J20" s="86" t="s">
        <v>367</v>
      </c>
      <c r="K20" s="86" t="s">
        <v>368</v>
      </c>
      <c r="L20" s="80" t="s">
        <v>198</v>
      </c>
      <c r="M20" s="80" t="s">
        <v>291</v>
      </c>
    </row>
    <row r="21" customFormat="false" ht="39.75" hidden="false" customHeight="true" outlineLevel="0" collapsed="false">
      <c r="A21" s="87" t="s">
        <v>369</v>
      </c>
      <c r="B21" s="73" t="s">
        <v>370</v>
      </c>
      <c r="C21" s="74" t="s">
        <v>362</v>
      </c>
      <c r="D21" s="74" t="s">
        <v>371</v>
      </c>
      <c r="E21" s="72" t="s">
        <v>285</v>
      </c>
      <c r="F21" s="74" t="s">
        <v>372</v>
      </c>
      <c r="G21" s="74" t="s">
        <v>135</v>
      </c>
      <c r="H21" s="74" t="s">
        <v>365</v>
      </c>
      <c r="I21" s="88" t="s">
        <v>366</v>
      </c>
      <c r="J21" s="74" t="s">
        <v>373</v>
      </c>
      <c r="K21" s="74" t="s">
        <v>374</v>
      </c>
      <c r="L21" s="72" t="s">
        <v>198</v>
      </c>
      <c r="M21" s="72" t="s">
        <v>291</v>
      </c>
    </row>
    <row r="22" customFormat="false" ht="39.75" hidden="false" customHeight="true" outlineLevel="0" collapsed="false">
      <c r="A22" s="89" t="s">
        <v>375</v>
      </c>
      <c r="B22" s="81" t="s">
        <v>376</v>
      </c>
      <c r="C22" s="82" t="s">
        <v>362</v>
      </c>
      <c r="D22" s="82" t="s">
        <v>377</v>
      </c>
      <c r="E22" s="80" t="s">
        <v>285</v>
      </c>
      <c r="F22" s="82" t="s">
        <v>378</v>
      </c>
      <c r="G22" s="82" t="s">
        <v>135</v>
      </c>
      <c r="H22" s="82" t="s">
        <v>365</v>
      </c>
      <c r="I22" s="84" t="s">
        <v>366</v>
      </c>
      <c r="J22" s="86" t="s">
        <v>379</v>
      </c>
      <c r="K22" s="83" t="s">
        <v>380</v>
      </c>
      <c r="L22" s="80" t="s">
        <v>198</v>
      </c>
      <c r="M22" s="80" t="s">
        <v>291</v>
      </c>
    </row>
    <row r="23" customFormat="false" ht="39.75" hidden="false" customHeight="true" outlineLevel="0" collapsed="false">
      <c r="A23" s="87" t="s">
        <v>381</v>
      </c>
      <c r="B23" s="73" t="s">
        <v>382</v>
      </c>
      <c r="C23" s="74" t="s">
        <v>362</v>
      </c>
      <c r="D23" s="74" t="s">
        <v>383</v>
      </c>
      <c r="E23" s="72" t="s">
        <v>285</v>
      </c>
      <c r="F23" s="74" t="s">
        <v>384</v>
      </c>
      <c r="G23" s="74" t="s">
        <v>135</v>
      </c>
      <c r="H23" s="74" t="s">
        <v>365</v>
      </c>
      <c r="I23" s="88" t="s">
        <v>366</v>
      </c>
      <c r="J23" s="74" t="s">
        <v>385</v>
      </c>
      <c r="K23" s="74" t="s">
        <v>386</v>
      </c>
      <c r="L23" s="72" t="s">
        <v>198</v>
      </c>
      <c r="M23" s="72" t="s">
        <v>291</v>
      </c>
    </row>
    <row r="24" customFormat="false" ht="39.75" hidden="false" customHeight="true" outlineLevel="0" collapsed="false">
      <c r="A24" s="89" t="s">
        <v>387</v>
      </c>
      <c r="B24" s="81" t="s">
        <v>388</v>
      </c>
      <c r="C24" s="82" t="s">
        <v>389</v>
      </c>
      <c r="D24" s="82" t="s">
        <v>390</v>
      </c>
      <c r="E24" s="80" t="s">
        <v>285</v>
      </c>
      <c r="F24" s="82" t="s">
        <v>391</v>
      </c>
      <c r="G24" s="82" t="s">
        <v>135</v>
      </c>
      <c r="H24" s="82" t="s">
        <v>333</v>
      </c>
      <c r="I24" s="84" t="s">
        <v>334</v>
      </c>
      <c r="J24" s="86" t="s">
        <v>135</v>
      </c>
      <c r="K24" s="86" t="s">
        <v>392</v>
      </c>
      <c r="L24" s="80" t="s">
        <v>198</v>
      </c>
      <c r="M24" s="80" t="s">
        <v>291</v>
      </c>
    </row>
    <row r="25" customFormat="false" ht="39.75" hidden="false" customHeight="true" outlineLevel="0" collapsed="false">
      <c r="A25" s="87" t="s">
        <v>393</v>
      </c>
      <c r="B25" s="73" t="s">
        <v>394</v>
      </c>
      <c r="C25" s="74" t="s">
        <v>389</v>
      </c>
      <c r="D25" s="74" t="s">
        <v>395</v>
      </c>
      <c r="E25" s="72" t="s">
        <v>396</v>
      </c>
      <c r="F25" s="74" t="s">
        <v>397</v>
      </c>
      <c r="G25" s="74" t="s">
        <v>135</v>
      </c>
      <c r="H25" s="74" t="s">
        <v>398</v>
      </c>
      <c r="I25" s="88" t="s">
        <v>399</v>
      </c>
      <c r="J25" s="74" t="s">
        <v>400</v>
      </c>
      <c r="K25" s="74" t="s">
        <v>401</v>
      </c>
      <c r="L25" s="72" t="s">
        <v>198</v>
      </c>
      <c r="M25" s="72" t="s">
        <v>291</v>
      </c>
    </row>
    <row r="26" customFormat="false" ht="39.75" hidden="false" customHeight="true" outlineLevel="0" collapsed="false">
      <c r="A26" s="89" t="s">
        <v>402</v>
      </c>
      <c r="B26" s="81" t="s">
        <v>403</v>
      </c>
      <c r="C26" s="82" t="s">
        <v>389</v>
      </c>
      <c r="D26" s="82" t="s">
        <v>404</v>
      </c>
      <c r="E26" s="80" t="s">
        <v>285</v>
      </c>
      <c r="F26" s="82" t="s">
        <v>405</v>
      </c>
      <c r="G26" s="82" t="s">
        <v>135</v>
      </c>
      <c r="H26" s="82" t="s">
        <v>333</v>
      </c>
      <c r="I26" s="84" t="s">
        <v>334</v>
      </c>
      <c r="J26" s="86" t="s">
        <v>135</v>
      </c>
      <c r="K26" s="83" t="s">
        <v>406</v>
      </c>
      <c r="L26" s="80" t="s">
        <v>198</v>
      </c>
      <c r="M26" s="80" t="s">
        <v>291</v>
      </c>
    </row>
    <row r="27" customFormat="false" ht="39.75" hidden="false" customHeight="true" outlineLevel="0" collapsed="false">
      <c r="A27" s="87" t="s">
        <v>407</v>
      </c>
      <c r="B27" s="73" t="s">
        <v>408</v>
      </c>
      <c r="C27" s="74" t="s">
        <v>409</v>
      </c>
      <c r="D27" s="74" t="s">
        <v>410</v>
      </c>
      <c r="E27" s="72" t="s">
        <v>285</v>
      </c>
      <c r="F27" s="74" t="s">
        <v>411</v>
      </c>
      <c r="G27" s="74" t="s">
        <v>135</v>
      </c>
      <c r="H27" s="74" t="s">
        <v>412</v>
      </c>
      <c r="I27" s="88" t="s">
        <v>413</v>
      </c>
      <c r="J27" s="74" t="s">
        <v>414</v>
      </c>
      <c r="K27" s="74" t="s">
        <v>415</v>
      </c>
      <c r="L27" s="72" t="s">
        <v>198</v>
      </c>
      <c r="M27" s="72" t="s">
        <v>291</v>
      </c>
    </row>
    <row r="28" customFormat="false" ht="39.75" hidden="false" customHeight="true" outlineLevel="0" collapsed="false">
      <c r="A28" s="89" t="s">
        <v>416</v>
      </c>
      <c r="B28" s="81" t="s">
        <v>417</v>
      </c>
      <c r="C28" s="82" t="s">
        <v>418</v>
      </c>
      <c r="D28" s="82" t="s">
        <v>419</v>
      </c>
      <c r="E28" s="80" t="s">
        <v>285</v>
      </c>
      <c r="F28" s="82" t="s">
        <v>420</v>
      </c>
      <c r="G28" s="82" t="s">
        <v>135</v>
      </c>
      <c r="H28" s="82" t="s">
        <v>316</v>
      </c>
      <c r="I28" s="84" t="s">
        <v>317</v>
      </c>
      <c r="J28" s="86" t="s">
        <v>135</v>
      </c>
      <c r="K28" s="86" t="s">
        <v>421</v>
      </c>
      <c r="L28" s="80" t="s">
        <v>198</v>
      </c>
      <c r="M28" s="80" t="s">
        <v>291</v>
      </c>
    </row>
    <row r="29" customFormat="false" ht="39.75" hidden="false" customHeight="true" outlineLevel="0" collapsed="false">
      <c r="A29" s="87" t="s">
        <v>422</v>
      </c>
      <c r="B29" s="73" t="s">
        <v>423</v>
      </c>
      <c r="C29" s="74" t="s">
        <v>424</v>
      </c>
      <c r="D29" s="74" t="s">
        <v>425</v>
      </c>
      <c r="E29" s="72" t="s">
        <v>285</v>
      </c>
      <c r="F29" s="74" t="s">
        <v>426</v>
      </c>
      <c r="G29" s="74" t="s">
        <v>135</v>
      </c>
      <c r="H29" s="74" t="s">
        <v>412</v>
      </c>
      <c r="I29" s="88" t="s">
        <v>413</v>
      </c>
      <c r="J29" s="74" t="s">
        <v>358</v>
      </c>
      <c r="K29" s="74" t="s">
        <v>427</v>
      </c>
      <c r="L29" s="72" t="s">
        <v>198</v>
      </c>
      <c r="M29" s="72" t="s">
        <v>291</v>
      </c>
    </row>
    <row r="30" customFormat="false" ht="39.75" hidden="false" customHeight="true" outlineLevel="0" collapsed="false">
      <c r="A30" s="89" t="s">
        <v>428</v>
      </c>
      <c r="B30" s="81" t="s">
        <v>429</v>
      </c>
      <c r="C30" s="82" t="s">
        <v>430</v>
      </c>
      <c r="D30" s="82" t="s">
        <v>431</v>
      </c>
      <c r="E30" s="80" t="s">
        <v>285</v>
      </c>
      <c r="F30" s="82" t="s">
        <v>432</v>
      </c>
      <c r="G30" s="82" t="s">
        <v>135</v>
      </c>
      <c r="H30" s="82" t="s">
        <v>412</v>
      </c>
      <c r="I30" s="84" t="s">
        <v>413</v>
      </c>
      <c r="J30" s="86" t="s">
        <v>433</v>
      </c>
      <c r="K30" s="83" t="s">
        <v>434</v>
      </c>
      <c r="L30" s="80" t="s">
        <v>198</v>
      </c>
      <c r="M30" s="80" t="s">
        <v>291</v>
      </c>
    </row>
    <row r="31" customFormat="false" ht="39.75" hidden="false" customHeight="true" outlineLevel="0" collapsed="false">
      <c r="A31" s="87" t="s">
        <v>435</v>
      </c>
      <c r="B31" s="73" t="s">
        <v>436</v>
      </c>
      <c r="C31" s="74" t="s">
        <v>437</v>
      </c>
      <c r="D31" s="74" t="s">
        <v>438</v>
      </c>
      <c r="E31" s="72" t="s">
        <v>285</v>
      </c>
      <c r="F31" s="74" t="s">
        <v>439</v>
      </c>
      <c r="G31" s="74" t="s">
        <v>135</v>
      </c>
      <c r="H31" s="74" t="s">
        <v>412</v>
      </c>
      <c r="I31" s="88" t="s">
        <v>413</v>
      </c>
      <c r="J31" s="74" t="s">
        <v>440</v>
      </c>
      <c r="K31" s="74" t="s">
        <v>441</v>
      </c>
      <c r="L31" s="72" t="s">
        <v>198</v>
      </c>
      <c r="M31" s="72" t="s">
        <v>291</v>
      </c>
    </row>
    <row r="32" customFormat="false" ht="39.75" hidden="false" customHeight="true" outlineLevel="0" collapsed="false">
      <c r="A32" s="89" t="s">
        <v>442</v>
      </c>
      <c r="B32" s="81" t="s">
        <v>443</v>
      </c>
      <c r="C32" s="82" t="s">
        <v>444</v>
      </c>
      <c r="D32" s="82" t="s">
        <v>445</v>
      </c>
      <c r="E32" s="80" t="s">
        <v>285</v>
      </c>
      <c r="F32" s="82" t="s">
        <v>446</v>
      </c>
      <c r="G32" s="82" t="s">
        <v>135</v>
      </c>
      <c r="H32" s="82" t="s">
        <v>333</v>
      </c>
      <c r="I32" s="84" t="s">
        <v>334</v>
      </c>
      <c r="J32" s="86" t="s">
        <v>135</v>
      </c>
      <c r="K32" s="86" t="s">
        <v>447</v>
      </c>
      <c r="L32" s="80" t="s">
        <v>198</v>
      </c>
      <c r="M32" s="80" t="s">
        <v>291</v>
      </c>
    </row>
    <row r="33" customFormat="false" ht="39.75" hidden="false" customHeight="true" outlineLevel="0" collapsed="false">
      <c r="A33" s="87" t="s">
        <v>448</v>
      </c>
      <c r="B33" s="73" t="s">
        <v>449</v>
      </c>
      <c r="C33" s="74" t="s">
        <v>450</v>
      </c>
      <c r="D33" s="74" t="s">
        <v>451</v>
      </c>
      <c r="E33" s="72" t="s">
        <v>285</v>
      </c>
      <c r="F33" s="74" t="s">
        <v>452</v>
      </c>
      <c r="G33" s="74" t="s">
        <v>135</v>
      </c>
      <c r="H33" s="74" t="s">
        <v>333</v>
      </c>
      <c r="I33" s="88" t="s">
        <v>334</v>
      </c>
      <c r="J33" s="74" t="s">
        <v>135</v>
      </c>
      <c r="K33" s="74" t="s">
        <v>453</v>
      </c>
      <c r="L33" s="72" t="s">
        <v>198</v>
      </c>
      <c r="M33" s="72" t="s">
        <v>291</v>
      </c>
    </row>
    <row r="34" customFormat="false" ht="39.75" hidden="false" customHeight="true" outlineLevel="0" collapsed="false">
      <c r="A34" s="89" t="s">
        <v>454</v>
      </c>
      <c r="B34" s="81" t="s">
        <v>455</v>
      </c>
      <c r="C34" s="82" t="s">
        <v>456</v>
      </c>
      <c r="D34" s="82" t="s">
        <v>457</v>
      </c>
      <c r="E34" s="80" t="s">
        <v>285</v>
      </c>
      <c r="F34" s="82" t="s">
        <v>458</v>
      </c>
      <c r="G34" s="82" t="s">
        <v>135</v>
      </c>
      <c r="H34" s="82" t="s">
        <v>297</v>
      </c>
      <c r="I34" s="84" t="s">
        <v>298</v>
      </c>
      <c r="J34" s="86" t="s">
        <v>459</v>
      </c>
      <c r="K34" s="86" t="s">
        <v>310</v>
      </c>
      <c r="L34" s="80" t="s">
        <v>198</v>
      </c>
      <c r="M34" s="80" t="s">
        <v>291</v>
      </c>
    </row>
    <row r="35" customFormat="false" ht="39.75" hidden="false" customHeight="true" outlineLevel="0" collapsed="false">
      <c r="A35" s="87" t="s">
        <v>460</v>
      </c>
      <c r="B35" s="73" t="s">
        <v>461</v>
      </c>
      <c r="C35" s="74" t="s">
        <v>456</v>
      </c>
      <c r="D35" s="74" t="s">
        <v>462</v>
      </c>
      <c r="E35" s="72" t="s">
        <v>285</v>
      </c>
      <c r="F35" s="74" t="s">
        <v>463</v>
      </c>
      <c r="G35" s="74" t="s">
        <v>135</v>
      </c>
      <c r="H35" s="74" t="s">
        <v>333</v>
      </c>
      <c r="I35" s="88" t="s">
        <v>334</v>
      </c>
      <c r="J35" s="74" t="s">
        <v>135</v>
      </c>
      <c r="K35" s="74" t="s">
        <v>464</v>
      </c>
      <c r="L35" s="72" t="s">
        <v>198</v>
      </c>
      <c r="M35" s="72" t="s">
        <v>291</v>
      </c>
    </row>
    <row r="36" customFormat="false" ht="39.75" hidden="false" customHeight="true" outlineLevel="0" collapsed="false">
      <c r="A36" s="89" t="s">
        <v>465</v>
      </c>
      <c r="B36" s="81" t="s">
        <v>466</v>
      </c>
      <c r="C36" s="82" t="s">
        <v>456</v>
      </c>
      <c r="D36" s="82" t="s">
        <v>467</v>
      </c>
      <c r="E36" s="80" t="s">
        <v>285</v>
      </c>
      <c r="F36" s="82" t="s">
        <v>468</v>
      </c>
      <c r="G36" s="82" t="s">
        <v>135</v>
      </c>
      <c r="H36" s="82" t="s">
        <v>316</v>
      </c>
      <c r="I36" s="84" t="s">
        <v>317</v>
      </c>
      <c r="J36" s="86" t="s">
        <v>135</v>
      </c>
      <c r="K36" s="86" t="s">
        <v>469</v>
      </c>
      <c r="L36" s="80" t="s">
        <v>198</v>
      </c>
      <c r="M36" s="80" t="s">
        <v>291</v>
      </c>
    </row>
    <row r="37" customFormat="false" ht="39.75" hidden="false" customHeight="true" outlineLevel="0" collapsed="false">
      <c r="A37" s="87" t="s">
        <v>470</v>
      </c>
      <c r="B37" s="73" t="s">
        <v>471</v>
      </c>
      <c r="C37" s="74" t="s">
        <v>472</v>
      </c>
      <c r="D37" s="74" t="s">
        <v>473</v>
      </c>
      <c r="E37" s="72" t="s">
        <v>285</v>
      </c>
      <c r="F37" s="74" t="s">
        <v>474</v>
      </c>
      <c r="G37" s="74" t="s">
        <v>135</v>
      </c>
      <c r="H37" s="74" t="s">
        <v>412</v>
      </c>
      <c r="I37" s="88" t="s">
        <v>413</v>
      </c>
      <c r="J37" s="74" t="s">
        <v>475</v>
      </c>
      <c r="K37" s="74" t="s">
        <v>476</v>
      </c>
      <c r="L37" s="72" t="s">
        <v>198</v>
      </c>
      <c r="M37" s="72" t="s">
        <v>291</v>
      </c>
    </row>
    <row r="38" customFormat="false" ht="39.75" hidden="false" customHeight="true" outlineLevel="0" collapsed="false">
      <c r="A38" s="89" t="s">
        <v>477</v>
      </c>
      <c r="B38" s="81" t="s">
        <v>478</v>
      </c>
      <c r="C38" s="82" t="s">
        <v>479</v>
      </c>
      <c r="D38" s="82" t="s">
        <v>480</v>
      </c>
      <c r="E38" s="80" t="s">
        <v>481</v>
      </c>
      <c r="F38" s="82" t="s">
        <v>482</v>
      </c>
      <c r="G38" s="82" t="s">
        <v>135</v>
      </c>
      <c r="H38" s="82" t="s">
        <v>297</v>
      </c>
      <c r="I38" s="84" t="s">
        <v>298</v>
      </c>
      <c r="J38" s="86" t="s">
        <v>483</v>
      </c>
      <c r="K38" s="86" t="s">
        <v>484</v>
      </c>
      <c r="L38" s="80" t="s">
        <v>198</v>
      </c>
      <c r="M38" s="80" t="s">
        <v>291</v>
      </c>
    </row>
    <row r="39" customFormat="false" ht="39.75" hidden="false" customHeight="true" outlineLevel="0" collapsed="false">
      <c r="A39" s="87" t="s">
        <v>485</v>
      </c>
      <c r="B39" s="73" t="s">
        <v>486</v>
      </c>
      <c r="C39" s="74" t="s">
        <v>479</v>
      </c>
      <c r="D39" s="74" t="s">
        <v>487</v>
      </c>
      <c r="E39" s="72" t="s">
        <v>285</v>
      </c>
      <c r="F39" s="74" t="s">
        <v>488</v>
      </c>
      <c r="G39" s="74" t="s">
        <v>135</v>
      </c>
      <c r="H39" s="74" t="s">
        <v>316</v>
      </c>
      <c r="I39" s="88" t="s">
        <v>317</v>
      </c>
      <c r="J39" s="74" t="s">
        <v>135</v>
      </c>
      <c r="K39" s="74" t="s">
        <v>489</v>
      </c>
      <c r="L39" s="72" t="s">
        <v>198</v>
      </c>
      <c r="M39" s="72" t="s">
        <v>291</v>
      </c>
    </row>
    <row r="40" customFormat="false" ht="39.75" hidden="false" customHeight="true" outlineLevel="0" collapsed="false">
      <c r="A40" s="89" t="s">
        <v>490</v>
      </c>
      <c r="B40" s="81" t="s">
        <v>491</v>
      </c>
      <c r="C40" s="82" t="s">
        <v>492</v>
      </c>
      <c r="D40" s="82" t="s">
        <v>493</v>
      </c>
      <c r="E40" s="80" t="s">
        <v>295</v>
      </c>
      <c r="F40" s="82" t="s">
        <v>494</v>
      </c>
      <c r="G40" s="82" t="s">
        <v>135</v>
      </c>
      <c r="H40" s="82" t="s">
        <v>398</v>
      </c>
      <c r="I40" s="84" t="s">
        <v>399</v>
      </c>
      <c r="J40" s="86" t="s">
        <v>135</v>
      </c>
      <c r="K40" s="86" t="s">
        <v>495</v>
      </c>
      <c r="L40" s="80" t="s">
        <v>198</v>
      </c>
      <c r="M40" s="80" t="s">
        <v>291</v>
      </c>
    </row>
    <row r="41" customFormat="false" ht="39.75" hidden="false" customHeight="true" outlineLevel="0" collapsed="false">
      <c r="A41" s="87" t="s">
        <v>496</v>
      </c>
      <c r="B41" s="73" t="s">
        <v>497</v>
      </c>
      <c r="C41" s="74" t="s">
        <v>498</v>
      </c>
      <c r="D41" s="74" t="s">
        <v>499</v>
      </c>
      <c r="E41" s="72" t="s">
        <v>481</v>
      </c>
      <c r="F41" s="74" t="s">
        <v>500</v>
      </c>
      <c r="G41" s="74" t="s">
        <v>135</v>
      </c>
      <c r="H41" s="74" t="s">
        <v>297</v>
      </c>
      <c r="I41" s="88" t="s">
        <v>357</v>
      </c>
      <c r="J41" s="74" t="s">
        <v>440</v>
      </c>
      <c r="K41" s="74" t="s">
        <v>501</v>
      </c>
      <c r="L41" s="72" t="s">
        <v>198</v>
      </c>
      <c r="M41" s="72" t="s">
        <v>291</v>
      </c>
    </row>
    <row r="42" customFormat="false" ht="39.75" hidden="false" customHeight="true" outlineLevel="0" collapsed="false">
      <c r="A42" s="89" t="s">
        <v>502</v>
      </c>
      <c r="B42" s="81" t="s">
        <v>503</v>
      </c>
      <c r="C42" s="82" t="s">
        <v>498</v>
      </c>
      <c r="D42" s="82" t="s">
        <v>504</v>
      </c>
      <c r="E42" s="80" t="s">
        <v>285</v>
      </c>
      <c r="F42" s="82" t="s">
        <v>505</v>
      </c>
      <c r="G42" s="82" t="s">
        <v>135</v>
      </c>
      <c r="H42" s="82" t="s">
        <v>398</v>
      </c>
      <c r="I42" s="84" t="s">
        <v>399</v>
      </c>
      <c r="J42" s="86" t="s">
        <v>135</v>
      </c>
      <c r="K42" s="86" t="s">
        <v>441</v>
      </c>
      <c r="L42" s="80" t="s">
        <v>198</v>
      </c>
      <c r="M42" s="80" t="s">
        <v>291</v>
      </c>
    </row>
    <row r="43" customFormat="false" ht="39.75" hidden="false" customHeight="true" outlineLevel="0" collapsed="false">
      <c r="A43" s="87" t="s">
        <v>506</v>
      </c>
      <c r="B43" s="73" t="s">
        <v>507</v>
      </c>
      <c r="C43" s="74" t="s">
        <v>508</v>
      </c>
      <c r="D43" s="74" t="s">
        <v>509</v>
      </c>
      <c r="E43" s="72" t="s">
        <v>295</v>
      </c>
      <c r="F43" s="74" t="s">
        <v>510</v>
      </c>
      <c r="G43" s="74" t="s">
        <v>135</v>
      </c>
      <c r="H43" s="74" t="s">
        <v>365</v>
      </c>
      <c r="I43" s="88" t="s">
        <v>366</v>
      </c>
      <c r="J43" s="74" t="s">
        <v>511</v>
      </c>
      <c r="K43" s="74" t="s">
        <v>512</v>
      </c>
      <c r="L43" s="72" t="s">
        <v>198</v>
      </c>
      <c r="M43" s="72" t="s">
        <v>291</v>
      </c>
    </row>
    <row r="44" customFormat="false" ht="39.75" hidden="false" customHeight="true" outlineLevel="0" collapsed="false">
      <c r="A44" s="89" t="s">
        <v>513</v>
      </c>
      <c r="B44" s="81" t="s">
        <v>514</v>
      </c>
      <c r="C44" s="82" t="s">
        <v>508</v>
      </c>
      <c r="D44" s="82" t="s">
        <v>515</v>
      </c>
      <c r="E44" s="80" t="s">
        <v>285</v>
      </c>
      <c r="F44" s="82" t="s">
        <v>516</v>
      </c>
      <c r="G44" s="82" t="s">
        <v>135</v>
      </c>
      <c r="H44" s="82" t="s">
        <v>333</v>
      </c>
      <c r="I44" s="84" t="s">
        <v>334</v>
      </c>
      <c r="J44" s="86" t="s">
        <v>135</v>
      </c>
      <c r="K44" s="83" t="s">
        <v>517</v>
      </c>
      <c r="L44" s="80" t="s">
        <v>198</v>
      </c>
      <c r="M44" s="80" t="s">
        <v>291</v>
      </c>
    </row>
    <row r="45" customFormat="false" ht="39.75" hidden="false" customHeight="true" outlineLevel="0" collapsed="false">
      <c r="A45" s="87" t="s">
        <v>518</v>
      </c>
      <c r="B45" s="73" t="s">
        <v>519</v>
      </c>
      <c r="C45" s="74" t="s">
        <v>520</v>
      </c>
      <c r="D45" s="74" t="s">
        <v>521</v>
      </c>
      <c r="E45" s="72" t="s">
        <v>285</v>
      </c>
      <c r="F45" s="74" t="s">
        <v>522</v>
      </c>
      <c r="G45" s="74" t="s">
        <v>135</v>
      </c>
      <c r="H45" s="74" t="s">
        <v>316</v>
      </c>
      <c r="I45" s="88" t="s">
        <v>317</v>
      </c>
      <c r="J45" s="74" t="s">
        <v>135</v>
      </c>
      <c r="K45" s="74" t="s">
        <v>523</v>
      </c>
      <c r="L45" s="72" t="s">
        <v>198</v>
      </c>
      <c r="M45" s="72" t="s">
        <v>291</v>
      </c>
    </row>
    <row r="46" customFormat="false" ht="39.75" hidden="false" customHeight="true" outlineLevel="0" collapsed="false">
      <c r="A46" s="89" t="s">
        <v>524</v>
      </c>
      <c r="B46" s="81" t="s">
        <v>525</v>
      </c>
      <c r="C46" s="82" t="s">
        <v>520</v>
      </c>
      <c r="D46" s="82" t="s">
        <v>526</v>
      </c>
      <c r="E46" s="80" t="s">
        <v>285</v>
      </c>
      <c r="F46" s="82" t="s">
        <v>527</v>
      </c>
      <c r="G46" s="82" t="s">
        <v>135</v>
      </c>
      <c r="H46" s="82" t="s">
        <v>398</v>
      </c>
      <c r="I46" s="84" t="s">
        <v>399</v>
      </c>
      <c r="J46" s="86" t="s">
        <v>335</v>
      </c>
      <c r="K46" s="86" t="s">
        <v>523</v>
      </c>
      <c r="L46" s="80" t="s">
        <v>198</v>
      </c>
      <c r="M46" s="80" t="s">
        <v>291</v>
      </c>
    </row>
    <row r="47" customFormat="false" ht="39.75" hidden="false" customHeight="true" outlineLevel="0" collapsed="false">
      <c r="A47" s="87" t="s">
        <v>528</v>
      </c>
      <c r="B47" s="73" t="s">
        <v>529</v>
      </c>
      <c r="C47" s="74" t="s">
        <v>520</v>
      </c>
      <c r="D47" s="74" t="s">
        <v>530</v>
      </c>
      <c r="E47" s="72" t="s">
        <v>285</v>
      </c>
      <c r="F47" s="74" t="s">
        <v>531</v>
      </c>
      <c r="G47" s="74" t="s">
        <v>135</v>
      </c>
      <c r="H47" s="74" t="s">
        <v>333</v>
      </c>
      <c r="I47" s="88" t="s">
        <v>334</v>
      </c>
      <c r="J47" s="74" t="s">
        <v>335</v>
      </c>
      <c r="K47" s="74" t="s">
        <v>336</v>
      </c>
      <c r="L47" s="72" t="s">
        <v>198</v>
      </c>
      <c r="M47" s="72" t="s">
        <v>291</v>
      </c>
    </row>
    <row r="48" customFormat="false" ht="39.75" hidden="false" customHeight="true" outlineLevel="0" collapsed="false">
      <c r="A48" s="89" t="s">
        <v>532</v>
      </c>
      <c r="B48" s="81" t="s">
        <v>533</v>
      </c>
      <c r="C48" s="82" t="s">
        <v>534</v>
      </c>
      <c r="D48" s="82" t="s">
        <v>535</v>
      </c>
      <c r="E48" s="80" t="s">
        <v>285</v>
      </c>
      <c r="F48" s="82" t="s">
        <v>536</v>
      </c>
      <c r="G48" s="82" t="s">
        <v>135</v>
      </c>
      <c r="H48" s="82" t="s">
        <v>537</v>
      </c>
      <c r="I48" s="84" t="s">
        <v>538</v>
      </c>
      <c r="J48" s="86" t="s">
        <v>539</v>
      </c>
      <c r="K48" s="86" t="s">
        <v>476</v>
      </c>
      <c r="L48" s="80" t="s">
        <v>198</v>
      </c>
      <c r="M48" s="80" t="s">
        <v>291</v>
      </c>
    </row>
    <row r="49" customFormat="false" ht="39.75" hidden="false" customHeight="true" outlineLevel="0" collapsed="false">
      <c r="A49" s="87" t="s">
        <v>540</v>
      </c>
      <c r="B49" s="73" t="s">
        <v>541</v>
      </c>
      <c r="C49" s="74" t="s">
        <v>542</v>
      </c>
      <c r="D49" s="74" t="s">
        <v>543</v>
      </c>
      <c r="E49" s="72" t="s">
        <v>481</v>
      </c>
      <c r="F49" s="74" t="s">
        <v>544</v>
      </c>
      <c r="G49" s="74" t="s">
        <v>135</v>
      </c>
      <c r="H49" s="74" t="s">
        <v>537</v>
      </c>
      <c r="I49" s="88" t="s">
        <v>538</v>
      </c>
      <c r="J49" s="74" t="s">
        <v>545</v>
      </c>
      <c r="K49" s="74" t="s">
        <v>310</v>
      </c>
      <c r="L49" s="72" t="s">
        <v>198</v>
      </c>
      <c r="M49" s="72" t="s">
        <v>291</v>
      </c>
    </row>
    <row r="50" customFormat="false" ht="39.75" hidden="false" customHeight="true" outlineLevel="0" collapsed="false">
      <c r="A50" s="89" t="s">
        <v>546</v>
      </c>
      <c r="B50" s="81" t="s">
        <v>547</v>
      </c>
      <c r="C50" s="82" t="s">
        <v>542</v>
      </c>
      <c r="D50" s="82" t="s">
        <v>548</v>
      </c>
      <c r="E50" s="80" t="s">
        <v>295</v>
      </c>
      <c r="F50" s="82" t="s">
        <v>549</v>
      </c>
      <c r="G50" s="82" t="s">
        <v>550</v>
      </c>
      <c r="H50" s="82" t="s">
        <v>551</v>
      </c>
      <c r="I50" s="84" t="s">
        <v>552</v>
      </c>
      <c r="J50" s="86" t="s">
        <v>553</v>
      </c>
      <c r="K50" s="86" t="s">
        <v>421</v>
      </c>
      <c r="L50" s="80" t="s">
        <v>198</v>
      </c>
      <c r="M50" s="80" t="s">
        <v>291</v>
      </c>
    </row>
    <row r="51" customFormat="false" ht="39.75" hidden="false" customHeight="true" outlineLevel="0" collapsed="false">
      <c r="A51" s="87" t="s">
        <v>554</v>
      </c>
      <c r="B51" s="73" t="s">
        <v>555</v>
      </c>
      <c r="C51" s="74" t="s">
        <v>542</v>
      </c>
      <c r="D51" s="74" t="s">
        <v>556</v>
      </c>
      <c r="E51" s="72" t="s">
        <v>295</v>
      </c>
      <c r="F51" s="74" t="s">
        <v>557</v>
      </c>
      <c r="G51" s="74" t="s">
        <v>135</v>
      </c>
      <c r="H51" s="74" t="s">
        <v>365</v>
      </c>
      <c r="I51" s="88" t="s">
        <v>366</v>
      </c>
      <c r="J51" s="74" t="s">
        <v>373</v>
      </c>
      <c r="K51" s="74" t="s">
        <v>558</v>
      </c>
      <c r="L51" s="72" t="s">
        <v>198</v>
      </c>
      <c r="M51" s="72" t="s">
        <v>291</v>
      </c>
    </row>
    <row r="52" customFormat="false" ht="39.75" hidden="false" customHeight="true" outlineLevel="0" collapsed="false">
      <c r="A52" s="89" t="s">
        <v>559</v>
      </c>
      <c r="B52" s="81" t="s">
        <v>560</v>
      </c>
      <c r="C52" s="82" t="s">
        <v>561</v>
      </c>
      <c r="D52" s="82" t="s">
        <v>562</v>
      </c>
      <c r="E52" s="80" t="s">
        <v>563</v>
      </c>
      <c r="F52" s="82" t="s">
        <v>564</v>
      </c>
      <c r="G52" s="82" t="s">
        <v>565</v>
      </c>
      <c r="H52" s="82" t="s">
        <v>566</v>
      </c>
      <c r="I52" s="84" t="s">
        <v>567</v>
      </c>
      <c r="J52" s="86" t="s">
        <v>568</v>
      </c>
      <c r="K52" s="86" t="s">
        <v>569</v>
      </c>
      <c r="L52" s="80" t="s">
        <v>198</v>
      </c>
      <c r="M52" s="80" t="s">
        <v>291</v>
      </c>
    </row>
    <row r="53" customFormat="false" ht="39.75" hidden="false" customHeight="true" outlineLevel="0" collapsed="false">
      <c r="A53" s="87" t="s">
        <v>570</v>
      </c>
      <c r="B53" s="73" t="s">
        <v>571</v>
      </c>
      <c r="C53" s="74" t="s">
        <v>572</v>
      </c>
      <c r="D53" s="74" t="s">
        <v>573</v>
      </c>
      <c r="E53" s="72" t="s">
        <v>285</v>
      </c>
      <c r="F53" s="74" t="s">
        <v>574</v>
      </c>
      <c r="G53" s="74" t="s">
        <v>346</v>
      </c>
      <c r="H53" s="74" t="s">
        <v>537</v>
      </c>
      <c r="I53" s="88" t="s">
        <v>575</v>
      </c>
      <c r="J53" s="74" t="s">
        <v>576</v>
      </c>
      <c r="K53" s="74" t="s">
        <v>577</v>
      </c>
      <c r="L53" s="72" t="s">
        <v>198</v>
      </c>
      <c r="M53" s="72" t="s">
        <v>291</v>
      </c>
    </row>
    <row r="54" customFormat="false" ht="39.75" hidden="false" customHeight="true" outlineLevel="0" collapsed="false">
      <c r="A54" s="89" t="s">
        <v>578</v>
      </c>
      <c r="B54" s="81" t="s">
        <v>579</v>
      </c>
      <c r="C54" s="82" t="s">
        <v>580</v>
      </c>
      <c r="D54" s="82" t="s">
        <v>581</v>
      </c>
      <c r="E54" s="80" t="s">
        <v>285</v>
      </c>
      <c r="F54" s="82" t="s">
        <v>582</v>
      </c>
      <c r="G54" s="82" t="s">
        <v>135</v>
      </c>
      <c r="H54" s="82" t="s">
        <v>398</v>
      </c>
      <c r="I54" s="84" t="s">
        <v>399</v>
      </c>
      <c r="J54" s="86" t="s">
        <v>135</v>
      </c>
      <c r="K54" s="83" t="s">
        <v>583</v>
      </c>
      <c r="L54" s="80" t="s">
        <v>198</v>
      </c>
      <c r="M54" s="80" t="s">
        <v>291</v>
      </c>
    </row>
    <row r="55" customFormat="false" ht="39.75" hidden="false" customHeight="true" outlineLevel="0" collapsed="false">
      <c r="A55" s="87" t="s">
        <v>584</v>
      </c>
      <c r="B55" s="73" t="s">
        <v>585</v>
      </c>
      <c r="C55" s="74" t="s">
        <v>586</v>
      </c>
      <c r="D55" s="74" t="s">
        <v>587</v>
      </c>
      <c r="E55" s="72" t="s">
        <v>295</v>
      </c>
      <c r="F55" s="74" t="s">
        <v>588</v>
      </c>
      <c r="G55" s="74" t="s">
        <v>589</v>
      </c>
      <c r="H55" s="74" t="s">
        <v>590</v>
      </c>
      <c r="I55" s="88" t="s">
        <v>591</v>
      </c>
      <c r="J55" s="74" t="s">
        <v>592</v>
      </c>
      <c r="K55" s="74" t="s">
        <v>593</v>
      </c>
      <c r="L55" s="72" t="s">
        <v>198</v>
      </c>
      <c r="M55" s="72" t="s">
        <v>291</v>
      </c>
    </row>
    <row r="56" customFormat="false" ht="39.75" hidden="false" customHeight="true" outlineLevel="0" collapsed="false">
      <c r="A56" s="89" t="s">
        <v>594</v>
      </c>
      <c r="B56" s="81" t="s">
        <v>595</v>
      </c>
      <c r="C56" s="82" t="s">
        <v>596</v>
      </c>
      <c r="D56" s="82" t="s">
        <v>597</v>
      </c>
      <c r="E56" s="80" t="s">
        <v>295</v>
      </c>
      <c r="F56" s="82" t="s">
        <v>598</v>
      </c>
      <c r="G56" s="82" t="s">
        <v>346</v>
      </c>
      <c r="H56" s="82" t="s">
        <v>537</v>
      </c>
      <c r="I56" s="84" t="s">
        <v>599</v>
      </c>
      <c r="J56" s="86" t="s">
        <v>600</v>
      </c>
      <c r="K56" s="83" t="s">
        <v>601</v>
      </c>
      <c r="L56" s="80" t="s">
        <v>198</v>
      </c>
      <c r="M56" s="80" t="s">
        <v>291</v>
      </c>
    </row>
    <row r="57" customFormat="false" ht="39.75" hidden="false" customHeight="true" outlineLevel="0" collapsed="false">
      <c r="A57" s="87" t="s">
        <v>602</v>
      </c>
      <c r="B57" s="73" t="s">
        <v>603</v>
      </c>
      <c r="C57" s="74" t="s">
        <v>596</v>
      </c>
      <c r="D57" s="74" t="s">
        <v>604</v>
      </c>
      <c r="E57" s="72" t="s">
        <v>563</v>
      </c>
      <c r="F57" s="74" t="s">
        <v>605</v>
      </c>
      <c r="G57" s="74" t="s">
        <v>606</v>
      </c>
      <c r="H57" s="74" t="s">
        <v>551</v>
      </c>
      <c r="I57" s="88" t="s">
        <v>607</v>
      </c>
      <c r="J57" s="74" t="s">
        <v>608</v>
      </c>
      <c r="K57" s="74" t="s">
        <v>609</v>
      </c>
      <c r="L57" s="72" t="s">
        <v>198</v>
      </c>
      <c r="M57" s="72" t="s">
        <v>291</v>
      </c>
    </row>
    <row r="58" customFormat="false" ht="39.75" hidden="false" customHeight="true" outlineLevel="0" collapsed="false">
      <c r="A58" s="89" t="s">
        <v>610</v>
      </c>
      <c r="B58" s="81" t="s">
        <v>611</v>
      </c>
      <c r="C58" s="82" t="s">
        <v>596</v>
      </c>
      <c r="D58" s="82" t="s">
        <v>612</v>
      </c>
      <c r="E58" s="80" t="s">
        <v>295</v>
      </c>
      <c r="F58" s="82" t="s">
        <v>613</v>
      </c>
      <c r="G58" s="82" t="s">
        <v>614</v>
      </c>
      <c r="H58" s="82" t="s">
        <v>615</v>
      </c>
      <c r="I58" s="84" t="s">
        <v>616</v>
      </c>
      <c r="J58" s="86" t="s">
        <v>617</v>
      </c>
      <c r="K58" s="86" t="s">
        <v>618</v>
      </c>
      <c r="L58" s="80" t="s">
        <v>198</v>
      </c>
      <c r="M58" s="80" t="s">
        <v>291</v>
      </c>
    </row>
    <row r="59" customFormat="false" ht="39.75" hidden="false" customHeight="true" outlineLevel="0" collapsed="false">
      <c r="A59" s="87" t="s">
        <v>619</v>
      </c>
      <c r="B59" s="73" t="s">
        <v>620</v>
      </c>
      <c r="C59" s="74" t="s">
        <v>621</v>
      </c>
      <c r="D59" s="74" t="s">
        <v>622</v>
      </c>
      <c r="E59" s="72" t="s">
        <v>285</v>
      </c>
      <c r="F59" s="74" t="s">
        <v>623</v>
      </c>
      <c r="G59" s="74" t="s">
        <v>624</v>
      </c>
      <c r="H59" s="74" t="s">
        <v>590</v>
      </c>
      <c r="I59" s="88" t="s">
        <v>591</v>
      </c>
      <c r="J59" s="74" t="s">
        <v>135</v>
      </c>
      <c r="K59" s="74" t="s">
        <v>625</v>
      </c>
      <c r="L59" s="72" t="s">
        <v>198</v>
      </c>
      <c r="M59" s="72" t="s">
        <v>291</v>
      </c>
    </row>
  </sheetData>
  <mergeCells count="3">
    <mergeCell ref="A4:M4"/>
    <mergeCell ref="A5:M5"/>
    <mergeCell ref="A6:M6"/>
  </mergeCells>
  <conditionalFormatting sqref="M9:M59">
    <cfRule type="cellIs" priority="2" operator="equal" aboveAverage="0" equalAverage="0" bottom="0" percent="0" rank="0" text="" dxfId="9">
      <formula>"未確認"</formula>
    </cfRule>
    <cfRule type="cellIs" priority="3" operator="equal" aboveAverage="0" equalAverage="0" bottom="0" percent="0" rank="0" text="" dxfId="10">
      <formula>"確認中"</formula>
    </cfRule>
    <cfRule type="cellIs" priority="4" operator="equal" aboveAverage="0" equalAverage="0" bottom="0" percent="0" rank="0" text="" dxfId="12">
      <formula>"掲載可"</formula>
    </cfRule>
    <cfRule type="cellIs" priority="5" operator="equal" aboveAverage="0" equalAverage="0" bottom="0" percent="0" rank="0" text="" dxfId="13">
      <formula>"差し替え"</formula>
    </cfRule>
  </conditionalFormatting>
  <dataValidations count="1">
    <dataValidation allowBlank="true" errorStyle="stop" operator="between" showDropDown="false" showErrorMessage="false" showInputMessage="false" sqref="M9:M59" type="list">
      <formula1>"未確認,確認中,掲載可,差し替え"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553D"/>
    <pageSetUpPr fitToPage="true"/>
  </sheetPr>
  <dimension ref="A1:L39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.25"/>
    <col collapsed="false" customWidth="true" hidden="false" outlineLevel="0" max="2" min="2" style="1" width="13.13"/>
    <col collapsed="false" customWidth="true" hidden="false" outlineLevel="0" max="4" min="3" style="1" width="8.75"/>
    <col collapsed="false" customWidth="true" hidden="false" outlineLevel="0" max="5" min="5" style="1" width="10"/>
    <col collapsed="false" customWidth="true" hidden="false" outlineLevel="0" max="6" min="6" style="1" width="26.25"/>
    <col collapsed="false" customWidth="true" hidden="false" outlineLevel="0" max="7" min="7" style="1" width="29.38"/>
    <col collapsed="false" customWidth="true" hidden="false" outlineLevel="0" max="8" min="8" style="1" width="26.25"/>
    <col collapsed="false" customWidth="true" hidden="false" outlineLevel="0" max="9" min="9" style="1" width="19.38"/>
    <col collapsed="false" customWidth="true" hidden="false" outlineLevel="0" max="10" min="10" style="1" width="32.5"/>
    <col collapsed="false" customWidth="true" hidden="false" outlineLevel="0" max="11" min="11" style="1" width="20.63"/>
    <col collapsed="false" customWidth="true" hidden="false" outlineLevel="0" max="12" min="12" style="1" width="12.5"/>
  </cols>
  <sheetData>
    <row r="1" customFormat="false" ht="6" hidden="false" customHeight="true" outlineLevel="0" collapsed="false">
      <c r="A1" s="60"/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customFormat="false" ht="36" hidden="false" customHeight="true" outlineLevel="0" collapsed="false">
      <c r="A2" s="90" t="s">
        <v>626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customFormat="false" ht="18" hidden="false" customHeight="true" outlineLevel="0" collapsed="false">
      <c r="A3" s="62" t="s">
        <v>627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customFormat="false" ht="24.75" hidden="false" customHeight="true" outlineLevel="0" collapsed="false">
      <c r="A4" s="91" t="s">
        <v>628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</row>
    <row r="5" customFormat="false" ht="24.75" hidden="false" customHeight="true" outlineLevel="0" collapsed="false">
      <c r="A5" s="67" t="s">
        <v>629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customFormat="false" ht="24.75" hidden="false" customHeight="true" outlineLevel="0" collapsed="false">
      <c r="A6" s="67" t="s">
        <v>630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</row>
    <row r="7" customFormat="false" ht="15" hidden="false" customHeight="true" outlineLevel="0" collapsed="false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customFormat="false" ht="33.75" hidden="false" customHeight="true" outlineLevel="0" collapsed="false">
      <c r="A8" s="10" t="s">
        <v>276</v>
      </c>
      <c r="B8" s="10" t="s">
        <v>63</v>
      </c>
      <c r="C8" s="10" t="s">
        <v>73</v>
      </c>
      <c r="D8" s="10" t="s">
        <v>631</v>
      </c>
      <c r="E8" s="10" t="s">
        <v>632</v>
      </c>
      <c r="F8" s="10" t="s">
        <v>6</v>
      </c>
      <c r="G8" s="10" t="s">
        <v>633</v>
      </c>
      <c r="H8" s="10" t="s">
        <v>634</v>
      </c>
      <c r="I8" s="10" t="s">
        <v>268</v>
      </c>
      <c r="J8" s="10" t="s">
        <v>635</v>
      </c>
      <c r="K8" s="10" t="s">
        <v>279</v>
      </c>
      <c r="L8" s="10" t="s">
        <v>101</v>
      </c>
    </row>
    <row r="9" customFormat="false" ht="33.75" hidden="false" customHeight="true" outlineLevel="0" collapsed="false">
      <c r="A9" s="92" t="s">
        <v>636</v>
      </c>
      <c r="B9" s="93" t="n">
        <f aca="false">制作工程表!$E$4</f>
        <v>46393</v>
      </c>
      <c r="C9" s="94" t="n">
        <v>0.354166666666667</v>
      </c>
      <c r="D9" s="94" t="n">
        <v>0.375</v>
      </c>
      <c r="E9" s="95" t="n">
        <f aca="false">ROUND((D9-C9)*1440,0)</f>
        <v>30</v>
      </c>
      <c r="F9" s="96" t="s">
        <v>637</v>
      </c>
      <c r="G9" s="96" t="s">
        <v>638</v>
      </c>
      <c r="H9" s="96" t="s">
        <v>639</v>
      </c>
      <c r="I9" s="97" t="s">
        <v>135</v>
      </c>
      <c r="J9" s="96" t="s">
        <v>640</v>
      </c>
      <c r="K9" s="96" t="s">
        <v>641</v>
      </c>
      <c r="L9" s="97" t="s">
        <v>32</v>
      </c>
    </row>
    <row r="10" customFormat="false" ht="33.75" hidden="false" customHeight="true" outlineLevel="0" collapsed="false">
      <c r="A10" s="98" t="s">
        <v>591</v>
      </c>
      <c r="B10" s="99" t="n">
        <f aca="false">制作工程表!$E$4</f>
        <v>46393</v>
      </c>
      <c r="C10" s="100" t="n">
        <v>0.375</v>
      </c>
      <c r="D10" s="100" t="n">
        <v>0.40625</v>
      </c>
      <c r="E10" s="80" t="n">
        <f aca="false">ROUND((D10-C10)*1440,0)</f>
        <v>45</v>
      </c>
      <c r="F10" s="81" t="s">
        <v>642</v>
      </c>
      <c r="G10" s="82" t="s">
        <v>643</v>
      </c>
      <c r="H10" s="82" t="s">
        <v>590</v>
      </c>
      <c r="I10" s="84" t="s">
        <v>644</v>
      </c>
      <c r="J10" s="82" t="s">
        <v>645</v>
      </c>
      <c r="K10" s="82" t="s">
        <v>198</v>
      </c>
      <c r="L10" s="80" t="s">
        <v>32</v>
      </c>
    </row>
    <row r="11" customFormat="false" ht="33.75" hidden="false" customHeight="true" outlineLevel="0" collapsed="false">
      <c r="A11" s="101" t="s">
        <v>348</v>
      </c>
      <c r="B11" s="102" t="n">
        <f aca="false">制作工程表!$E$4</f>
        <v>46393</v>
      </c>
      <c r="C11" s="103" t="n">
        <v>0.40625</v>
      </c>
      <c r="D11" s="103" t="n">
        <v>0.4375</v>
      </c>
      <c r="E11" s="72" t="n">
        <f aca="false">ROUND((D11-C11)*1440,0)</f>
        <v>45</v>
      </c>
      <c r="F11" s="73" t="s">
        <v>646</v>
      </c>
      <c r="G11" s="74" t="s">
        <v>346</v>
      </c>
      <c r="H11" s="74" t="s">
        <v>347</v>
      </c>
      <c r="I11" s="88" t="s">
        <v>341</v>
      </c>
      <c r="J11" s="74" t="s">
        <v>647</v>
      </c>
      <c r="K11" s="74" t="s">
        <v>648</v>
      </c>
      <c r="L11" s="72" t="s">
        <v>32</v>
      </c>
    </row>
    <row r="12" customFormat="false" ht="33.75" hidden="false" customHeight="true" outlineLevel="0" collapsed="false">
      <c r="A12" s="98" t="s">
        <v>538</v>
      </c>
      <c r="B12" s="99" t="n">
        <f aca="false">制作工程表!$E$4</f>
        <v>46393</v>
      </c>
      <c r="C12" s="100" t="n">
        <v>0.4375</v>
      </c>
      <c r="D12" s="100" t="n">
        <v>0.458333333333333</v>
      </c>
      <c r="E12" s="80" t="n">
        <f aca="false">ROUND((D12-C12)*1440,0)</f>
        <v>30</v>
      </c>
      <c r="F12" s="81" t="s">
        <v>649</v>
      </c>
      <c r="G12" s="82" t="s">
        <v>135</v>
      </c>
      <c r="H12" s="82" t="s">
        <v>537</v>
      </c>
      <c r="I12" s="84" t="s">
        <v>650</v>
      </c>
      <c r="J12" s="82" t="s">
        <v>651</v>
      </c>
      <c r="K12" s="82" t="s">
        <v>198</v>
      </c>
      <c r="L12" s="80" t="s">
        <v>32</v>
      </c>
    </row>
    <row r="13" customFormat="false" ht="33.75" hidden="false" customHeight="true" outlineLevel="0" collapsed="false">
      <c r="A13" s="92" t="s">
        <v>652</v>
      </c>
      <c r="B13" s="93" t="n">
        <f aca="false">制作工程表!$E$4</f>
        <v>46393</v>
      </c>
      <c r="C13" s="94" t="n">
        <v>0.458333333333333</v>
      </c>
      <c r="D13" s="94" t="n">
        <v>0.46875</v>
      </c>
      <c r="E13" s="95" t="n">
        <f aca="false">ROUND((D13-C13)*1440,0)</f>
        <v>15</v>
      </c>
      <c r="F13" s="96" t="s">
        <v>653</v>
      </c>
      <c r="G13" s="96" t="s">
        <v>654</v>
      </c>
      <c r="H13" s="96" t="s">
        <v>655</v>
      </c>
      <c r="I13" s="97" t="s">
        <v>135</v>
      </c>
      <c r="J13" s="96" t="s">
        <v>656</v>
      </c>
      <c r="K13" s="96" t="s">
        <v>654</v>
      </c>
      <c r="L13" s="97" t="s">
        <v>32</v>
      </c>
    </row>
    <row r="14" customFormat="false" ht="33.75" hidden="false" customHeight="true" outlineLevel="0" collapsed="false">
      <c r="A14" s="101" t="s">
        <v>552</v>
      </c>
      <c r="B14" s="102" t="n">
        <f aca="false">制作工程表!$E$4</f>
        <v>46393</v>
      </c>
      <c r="C14" s="103" t="n">
        <v>0.46875</v>
      </c>
      <c r="D14" s="103" t="n">
        <v>0.5</v>
      </c>
      <c r="E14" s="72" t="n">
        <f aca="false">ROUND((D14-C14)*1440,0)</f>
        <v>45</v>
      </c>
      <c r="F14" s="73" t="s">
        <v>657</v>
      </c>
      <c r="G14" s="74" t="s">
        <v>606</v>
      </c>
      <c r="H14" s="74" t="s">
        <v>551</v>
      </c>
      <c r="I14" s="88" t="s">
        <v>546</v>
      </c>
      <c r="J14" s="74" t="s">
        <v>658</v>
      </c>
      <c r="K14" s="74" t="s">
        <v>198</v>
      </c>
      <c r="L14" s="72" t="s">
        <v>32</v>
      </c>
    </row>
    <row r="15" customFormat="false" ht="33.75" hidden="false" customHeight="true" outlineLevel="0" collapsed="false">
      <c r="A15" s="92" t="s">
        <v>659</v>
      </c>
      <c r="B15" s="93" t="n">
        <f aca="false">制作工程表!$E$4</f>
        <v>46393</v>
      </c>
      <c r="C15" s="94" t="n">
        <v>0.5</v>
      </c>
      <c r="D15" s="94" t="n">
        <v>0.541666666666667</v>
      </c>
      <c r="E15" s="95" t="n">
        <f aca="false">ROUND((D15-C15)*1440,0)</f>
        <v>60</v>
      </c>
      <c r="F15" s="96" t="s">
        <v>660</v>
      </c>
      <c r="G15" s="96" t="s">
        <v>654</v>
      </c>
      <c r="H15" s="96" t="s">
        <v>655</v>
      </c>
      <c r="I15" s="97" t="s">
        <v>135</v>
      </c>
      <c r="J15" s="96" t="s">
        <v>661</v>
      </c>
      <c r="K15" s="96" t="s">
        <v>654</v>
      </c>
      <c r="L15" s="97" t="s">
        <v>32</v>
      </c>
    </row>
    <row r="16" customFormat="false" ht="33.75" hidden="false" customHeight="true" outlineLevel="0" collapsed="false">
      <c r="A16" s="98" t="s">
        <v>599</v>
      </c>
      <c r="B16" s="99" t="n">
        <f aca="false">制作工程表!$E$4</f>
        <v>46393</v>
      </c>
      <c r="C16" s="100" t="n">
        <v>0.541666666666667</v>
      </c>
      <c r="D16" s="100" t="n">
        <v>0.572916666666667</v>
      </c>
      <c r="E16" s="80" t="n">
        <f aca="false">ROUND((D16-C16)*1440,0)</f>
        <v>45</v>
      </c>
      <c r="F16" s="81" t="s">
        <v>662</v>
      </c>
      <c r="G16" s="82" t="s">
        <v>346</v>
      </c>
      <c r="H16" s="82" t="s">
        <v>663</v>
      </c>
      <c r="I16" s="84" t="s">
        <v>594</v>
      </c>
      <c r="J16" s="82" t="s">
        <v>664</v>
      </c>
      <c r="K16" s="82" t="s">
        <v>665</v>
      </c>
      <c r="L16" s="80" t="s">
        <v>32</v>
      </c>
    </row>
    <row r="17" customFormat="false" ht="33.75" hidden="false" customHeight="true" outlineLevel="0" collapsed="false">
      <c r="A17" s="101" t="s">
        <v>607</v>
      </c>
      <c r="B17" s="102" t="n">
        <f aca="false">制作工程表!$E$4</f>
        <v>46393</v>
      </c>
      <c r="C17" s="103" t="n">
        <v>0.572916666666667</v>
      </c>
      <c r="D17" s="103" t="n">
        <v>0.604166666666667</v>
      </c>
      <c r="E17" s="72" t="n">
        <f aca="false">ROUND((D17-C17)*1440,0)</f>
        <v>45</v>
      </c>
      <c r="F17" s="73" t="s">
        <v>666</v>
      </c>
      <c r="G17" s="74" t="s">
        <v>606</v>
      </c>
      <c r="H17" s="74" t="s">
        <v>667</v>
      </c>
      <c r="I17" s="88" t="s">
        <v>602</v>
      </c>
      <c r="J17" s="74" t="s">
        <v>664</v>
      </c>
      <c r="K17" s="74" t="s">
        <v>665</v>
      </c>
      <c r="L17" s="72" t="s">
        <v>32</v>
      </c>
    </row>
    <row r="18" customFormat="false" ht="33.75" hidden="false" customHeight="true" outlineLevel="0" collapsed="false">
      <c r="A18" s="98" t="s">
        <v>668</v>
      </c>
      <c r="B18" s="99" t="n">
        <f aca="false">制作工程表!$E$4</f>
        <v>46393</v>
      </c>
      <c r="C18" s="100" t="n">
        <v>0.604166666666667</v>
      </c>
      <c r="D18" s="100" t="n">
        <v>0.625</v>
      </c>
      <c r="E18" s="80" t="n">
        <f aca="false">ROUND((D18-C18)*1440,0)</f>
        <v>30</v>
      </c>
      <c r="F18" s="81" t="s">
        <v>669</v>
      </c>
      <c r="G18" s="82" t="s">
        <v>624</v>
      </c>
      <c r="H18" s="82" t="s">
        <v>670</v>
      </c>
      <c r="I18" s="104" t="s">
        <v>135</v>
      </c>
      <c r="J18" s="82" t="s">
        <v>671</v>
      </c>
      <c r="K18" s="82" t="s">
        <v>648</v>
      </c>
      <c r="L18" s="80" t="s">
        <v>32</v>
      </c>
    </row>
    <row r="19" customFormat="false" ht="33.75" hidden="false" customHeight="true" outlineLevel="0" collapsed="false">
      <c r="A19" s="92" t="s">
        <v>672</v>
      </c>
      <c r="B19" s="93" t="n">
        <f aca="false">制作工程表!$E$4</f>
        <v>46393</v>
      </c>
      <c r="C19" s="94" t="n">
        <v>0.625</v>
      </c>
      <c r="D19" s="94" t="n">
        <v>0.635416666666667</v>
      </c>
      <c r="E19" s="95" t="n">
        <f aca="false">ROUND((D19-C19)*1440,0)</f>
        <v>15</v>
      </c>
      <c r="F19" s="96" t="s">
        <v>673</v>
      </c>
      <c r="G19" s="96" t="s">
        <v>654</v>
      </c>
      <c r="H19" s="96" t="s">
        <v>655</v>
      </c>
      <c r="I19" s="97" t="s">
        <v>135</v>
      </c>
      <c r="J19" s="96" t="s">
        <v>674</v>
      </c>
      <c r="K19" s="96" t="s">
        <v>654</v>
      </c>
      <c r="L19" s="97" t="s">
        <v>32</v>
      </c>
    </row>
    <row r="20" customFormat="false" ht="33.75" hidden="false" customHeight="true" outlineLevel="0" collapsed="false">
      <c r="A20" s="101" t="s">
        <v>575</v>
      </c>
      <c r="B20" s="102" t="n">
        <f aca="false">制作工程表!$E$4</f>
        <v>46393</v>
      </c>
      <c r="C20" s="103" t="n">
        <v>0.635416666666667</v>
      </c>
      <c r="D20" s="103" t="n">
        <v>0.666666666666667</v>
      </c>
      <c r="E20" s="72" t="n">
        <f aca="false">ROUND((D20-C20)*1440,0)</f>
        <v>45</v>
      </c>
      <c r="F20" s="73" t="s">
        <v>675</v>
      </c>
      <c r="G20" s="74" t="s">
        <v>346</v>
      </c>
      <c r="H20" s="74" t="s">
        <v>537</v>
      </c>
      <c r="I20" s="88" t="s">
        <v>570</v>
      </c>
      <c r="J20" s="74" t="s">
        <v>676</v>
      </c>
      <c r="K20" s="74" t="s">
        <v>198</v>
      </c>
      <c r="L20" s="72" t="s">
        <v>32</v>
      </c>
    </row>
    <row r="21" customFormat="false" ht="33.75" hidden="false" customHeight="true" outlineLevel="0" collapsed="false">
      <c r="A21" s="98" t="s">
        <v>677</v>
      </c>
      <c r="B21" s="99" t="n">
        <f aca="false">制作工程表!$E$4</f>
        <v>46393</v>
      </c>
      <c r="C21" s="100" t="n">
        <v>0.666666666666667</v>
      </c>
      <c r="D21" s="100" t="n">
        <v>0.697916666666667</v>
      </c>
      <c r="E21" s="80" t="n">
        <f aca="false">ROUND((D21-C21)*1440,0)</f>
        <v>45</v>
      </c>
      <c r="F21" s="81" t="s">
        <v>678</v>
      </c>
      <c r="G21" s="82" t="s">
        <v>679</v>
      </c>
      <c r="H21" s="82" t="s">
        <v>680</v>
      </c>
      <c r="I21" s="104" t="s">
        <v>681</v>
      </c>
      <c r="J21" s="82" t="s">
        <v>682</v>
      </c>
      <c r="K21" s="82" t="s">
        <v>198</v>
      </c>
      <c r="L21" s="80" t="s">
        <v>32</v>
      </c>
    </row>
    <row r="22" customFormat="false" ht="33.75" hidden="false" customHeight="true" outlineLevel="0" collapsed="false">
      <c r="A22" s="92" t="s">
        <v>683</v>
      </c>
      <c r="B22" s="93" t="n">
        <f aca="false">制作工程表!$E$4</f>
        <v>46393</v>
      </c>
      <c r="C22" s="94" t="n">
        <v>0.697916666666667</v>
      </c>
      <c r="D22" s="94" t="n">
        <v>0.729166666666667</v>
      </c>
      <c r="E22" s="95" t="n">
        <f aca="false">ROUND((D22-C22)*1440,0)</f>
        <v>45</v>
      </c>
      <c r="F22" s="96" t="s">
        <v>684</v>
      </c>
      <c r="G22" s="96" t="s">
        <v>685</v>
      </c>
      <c r="H22" s="96" t="s">
        <v>639</v>
      </c>
      <c r="I22" s="97" t="s">
        <v>135</v>
      </c>
      <c r="J22" s="96" t="s">
        <v>686</v>
      </c>
      <c r="K22" s="96" t="s">
        <v>654</v>
      </c>
      <c r="L22" s="97" t="s">
        <v>32</v>
      </c>
    </row>
    <row r="23" customFormat="false" ht="33.75" hidden="false" customHeight="true" outlineLevel="0" collapsed="false">
      <c r="A23" s="92" t="s">
        <v>687</v>
      </c>
      <c r="B23" s="93" t="n">
        <f aca="false">制作工程表!$H$4</f>
        <v>46394</v>
      </c>
      <c r="C23" s="94" t="n">
        <v>0.375</v>
      </c>
      <c r="D23" s="94" t="n">
        <v>0.395833333333333</v>
      </c>
      <c r="E23" s="95" t="n">
        <f aca="false">ROUND((D23-C23)*1440,0)</f>
        <v>30</v>
      </c>
      <c r="F23" s="96" t="s">
        <v>688</v>
      </c>
      <c r="G23" s="96" t="s">
        <v>685</v>
      </c>
      <c r="H23" s="96" t="s">
        <v>412</v>
      </c>
      <c r="I23" s="97" t="s">
        <v>135</v>
      </c>
      <c r="J23" s="96" t="s">
        <v>689</v>
      </c>
      <c r="K23" s="96" t="s">
        <v>654</v>
      </c>
      <c r="L23" s="97" t="s">
        <v>32</v>
      </c>
    </row>
    <row r="24" customFormat="false" ht="33.75" hidden="false" customHeight="true" outlineLevel="0" collapsed="false">
      <c r="A24" s="101" t="s">
        <v>298</v>
      </c>
      <c r="B24" s="102" t="n">
        <f aca="false">制作工程表!$H$4</f>
        <v>46394</v>
      </c>
      <c r="C24" s="103" t="n">
        <v>0.395833333333333</v>
      </c>
      <c r="D24" s="103" t="n">
        <v>0.458333333333333</v>
      </c>
      <c r="E24" s="72" t="n">
        <f aca="false">ROUND((D24-C24)*1440,0)</f>
        <v>90</v>
      </c>
      <c r="F24" s="73" t="s">
        <v>690</v>
      </c>
      <c r="G24" s="74" t="s">
        <v>135</v>
      </c>
      <c r="H24" s="74" t="s">
        <v>297</v>
      </c>
      <c r="I24" s="88" t="s">
        <v>691</v>
      </c>
      <c r="J24" s="74" t="s">
        <v>692</v>
      </c>
      <c r="K24" s="74" t="s">
        <v>198</v>
      </c>
      <c r="L24" s="72" t="s">
        <v>32</v>
      </c>
    </row>
    <row r="25" customFormat="false" ht="33.75" hidden="false" customHeight="true" outlineLevel="0" collapsed="false">
      <c r="A25" s="98" t="s">
        <v>366</v>
      </c>
      <c r="B25" s="99" t="n">
        <f aca="false">制作工程表!$H$4</f>
        <v>46394</v>
      </c>
      <c r="C25" s="100" t="n">
        <v>0.458333333333333</v>
      </c>
      <c r="D25" s="100" t="n">
        <v>0.489583333333333</v>
      </c>
      <c r="E25" s="80" t="n">
        <f aca="false">ROUND((D25-C25)*1440,0)</f>
        <v>45</v>
      </c>
      <c r="F25" s="81" t="s">
        <v>693</v>
      </c>
      <c r="G25" s="82" t="s">
        <v>135</v>
      </c>
      <c r="H25" s="82" t="s">
        <v>365</v>
      </c>
      <c r="I25" s="84" t="s">
        <v>694</v>
      </c>
      <c r="J25" s="82" t="s">
        <v>695</v>
      </c>
      <c r="K25" s="82" t="s">
        <v>198</v>
      </c>
      <c r="L25" s="80" t="s">
        <v>32</v>
      </c>
    </row>
    <row r="26" customFormat="false" ht="33.75" hidden="false" customHeight="true" outlineLevel="0" collapsed="false">
      <c r="A26" s="92" t="s">
        <v>696</v>
      </c>
      <c r="B26" s="93" t="n">
        <f aca="false">制作工程表!$H$4</f>
        <v>46394</v>
      </c>
      <c r="C26" s="94" t="n">
        <v>0.489583333333333</v>
      </c>
      <c r="D26" s="94" t="n">
        <v>0.53125</v>
      </c>
      <c r="E26" s="95" t="n">
        <f aca="false">ROUND((D26-C26)*1440,0)</f>
        <v>60</v>
      </c>
      <c r="F26" s="96" t="s">
        <v>660</v>
      </c>
      <c r="G26" s="96" t="s">
        <v>654</v>
      </c>
      <c r="H26" s="96" t="s">
        <v>697</v>
      </c>
      <c r="I26" s="97" t="s">
        <v>135</v>
      </c>
      <c r="J26" s="96" t="s">
        <v>698</v>
      </c>
      <c r="K26" s="96" t="s">
        <v>654</v>
      </c>
      <c r="L26" s="97" t="s">
        <v>32</v>
      </c>
    </row>
    <row r="27" customFormat="false" ht="33.75" hidden="false" customHeight="true" outlineLevel="0" collapsed="false">
      <c r="A27" s="101" t="s">
        <v>567</v>
      </c>
      <c r="B27" s="102" t="n">
        <f aca="false">制作工程表!$H$4</f>
        <v>46394</v>
      </c>
      <c r="C27" s="103" t="n">
        <v>0.53125</v>
      </c>
      <c r="D27" s="103" t="n">
        <v>0.5625</v>
      </c>
      <c r="E27" s="72" t="n">
        <f aca="false">ROUND((D27-C27)*1440,0)</f>
        <v>45</v>
      </c>
      <c r="F27" s="73" t="s">
        <v>699</v>
      </c>
      <c r="G27" s="74" t="s">
        <v>565</v>
      </c>
      <c r="H27" s="74" t="s">
        <v>566</v>
      </c>
      <c r="I27" s="88" t="s">
        <v>559</v>
      </c>
      <c r="J27" s="74" t="s">
        <v>700</v>
      </c>
      <c r="K27" s="74" t="s">
        <v>665</v>
      </c>
      <c r="L27" s="72" t="s">
        <v>32</v>
      </c>
    </row>
    <row r="28" customFormat="false" ht="33.75" hidden="false" customHeight="true" outlineLevel="0" collapsed="false">
      <c r="A28" s="98" t="s">
        <v>616</v>
      </c>
      <c r="B28" s="99" t="n">
        <f aca="false">制作工程表!$H$4</f>
        <v>46394</v>
      </c>
      <c r="C28" s="100" t="n">
        <v>0.5625</v>
      </c>
      <c r="D28" s="100" t="n">
        <v>0.59375</v>
      </c>
      <c r="E28" s="80" t="n">
        <f aca="false">ROUND((D28-C28)*1440,0)</f>
        <v>45</v>
      </c>
      <c r="F28" s="81" t="s">
        <v>701</v>
      </c>
      <c r="G28" s="82" t="s">
        <v>614</v>
      </c>
      <c r="H28" s="82" t="s">
        <v>615</v>
      </c>
      <c r="I28" s="84" t="s">
        <v>610</v>
      </c>
      <c r="J28" s="82" t="s">
        <v>664</v>
      </c>
      <c r="K28" s="82" t="s">
        <v>665</v>
      </c>
      <c r="L28" s="80" t="s">
        <v>32</v>
      </c>
    </row>
    <row r="29" customFormat="false" ht="33.75" hidden="false" customHeight="true" outlineLevel="0" collapsed="false">
      <c r="A29" s="92" t="s">
        <v>702</v>
      </c>
      <c r="B29" s="93" t="n">
        <f aca="false">制作工程表!$H$4</f>
        <v>46394</v>
      </c>
      <c r="C29" s="94" t="n">
        <v>0.59375</v>
      </c>
      <c r="D29" s="94" t="n">
        <v>0.604166666666667</v>
      </c>
      <c r="E29" s="95" t="n">
        <f aca="false">ROUND((D29-C29)*1440,0)</f>
        <v>15</v>
      </c>
      <c r="F29" s="96" t="s">
        <v>673</v>
      </c>
      <c r="G29" s="96" t="s">
        <v>654</v>
      </c>
      <c r="H29" s="96" t="s">
        <v>697</v>
      </c>
      <c r="I29" s="97" t="s">
        <v>135</v>
      </c>
      <c r="J29" s="96" t="s">
        <v>703</v>
      </c>
      <c r="K29" s="96" t="s">
        <v>654</v>
      </c>
      <c r="L29" s="97" t="s">
        <v>32</v>
      </c>
    </row>
    <row r="30" customFormat="false" ht="33.75" hidden="false" customHeight="true" outlineLevel="0" collapsed="false">
      <c r="A30" s="101" t="s">
        <v>413</v>
      </c>
      <c r="B30" s="102" t="n">
        <f aca="false">制作工程表!$H$4</f>
        <v>46394</v>
      </c>
      <c r="C30" s="103" t="n">
        <v>0.604166666666667</v>
      </c>
      <c r="D30" s="103" t="n">
        <v>0.645833333333333</v>
      </c>
      <c r="E30" s="72" t="n">
        <f aca="false">ROUND((D30-C30)*1440,0)</f>
        <v>60</v>
      </c>
      <c r="F30" s="73" t="s">
        <v>704</v>
      </c>
      <c r="G30" s="74" t="s">
        <v>135</v>
      </c>
      <c r="H30" s="74" t="s">
        <v>412</v>
      </c>
      <c r="I30" s="88" t="s">
        <v>705</v>
      </c>
      <c r="J30" s="74" t="s">
        <v>706</v>
      </c>
      <c r="K30" s="74" t="s">
        <v>198</v>
      </c>
      <c r="L30" s="72" t="s">
        <v>32</v>
      </c>
    </row>
    <row r="31" customFormat="false" ht="33.75" hidden="false" customHeight="true" outlineLevel="0" collapsed="false">
      <c r="A31" s="98" t="s">
        <v>357</v>
      </c>
      <c r="B31" s="99" t="n">
        <f aca="false">制作工程表!$H$4</f>
        <v>46394</v>
      </c>
      <c r="C31" s="100" t="n">
        <v>0.645833333333333</v>
      </c>
      <c r="D31" s="100" t="n">
        <v>0.6875</v>
      </c>
      <c r="E31" s="80" t="n">
        <f aca="false">ROUND((D31-C31)*1440,0)</f>
        <v>60</v>
      </c>
      <c r="F31" s="81" t="s">
        <v>707</v>
      </c>
      <c r="G31" s="82" t="s">
        <v>135</v>
      </c>
      <c r="H31" s="82" t="s">
        <v>297</v>
      </c>
      <c r="I31" s="84" t="s">
        <v>708</v>
      </c>
      <c r="J31" s="82" t="s">
        <v>709</v>
      </c>
      <c r="K31" s="82" t="s">
        <v>198</v>
      </c>
      <c r="L31" s="80" t="s">
        <v>32</v>
      </c>
    </row>
    <row r="32" customFormat="false" ht="33.75" hidden="false" customHeight="true" outlineLevel="0" collapsed="false">
      <c r="A32" s="92" t="s">
        <v>710</v>
      </c>
      <c r="B32" s="93" t="n">
        <f aca="false">制作工程表!$H$4</f>
        <v>46394</v>
      </c>
      <c r="C32" s="94" t="n">
        <v>0.6875</v>
      </c>
      <c r="D32" s="94" t="n">
        <v>0.729166666666667</v>
      </c>
      <c r="E32" s="95" t="n">
        <f aca="false">ROUND((D32-C32)*1440,0)</f>
        <v>60</v>
      </c>
      <c r="F32" s="96" t="s">
        <v>684</v>
      </c>
      <c r="G32" s="96" t="s">
        <v>685</v>
      </c>
      <c r="H32" s="96" t="s">
        <v>566</v>
      </c>
      <c r="I32" s="97" t="s">
        <v>135</v>
      </c>
      <c r="J32" s="96" t="s">
        <v>711</v>
      </c>
      <c r="K32" s="96" t="s">
        <v>654</v>
      </c>
      <c r="L32" s="97" t="s">
        <v>32</v>
      </c>
    </row>
    <row r="33" customFormat="false" ht="33.75" hidden="false" customHeight="true" outlineLevel="0" collapsed="false">
      <c r="A33" s="92" t="s">
        <v>712</v>
      </c>
      <c r="B33" s="93" t="n">
        <f aca="false">制作工程表!$K$4</f>
        <v>46400</v>
      </c>
      <c r="C33" s="94" t="n">
        <v>0.375</v>
      </c>
      <c r="D33" s="94" t="n">
        <v>0.395833333333333</v>
      </c>
      <c r="E33" s="95" t="n">
        <f aca="false">ROUND((D33-C33)*1440,0)</f>
        <v>30</v>
      </c>
      <c r="F33" s="96" t="s">
        <v>713</v>
      </c>
      <c r="G33" s="96" t="s">
        <v>714</v>
      </c>
      <c r="H33" s="96" t="s">
        <v>316</v>
      </c>
      <c r="I33" s="97" t="s">
        <v>135</v>
      </c>
      <c r="J33" s="96" t="s">
        <v>715</v>
      </c>
      <c r="K33" s="96" t="s">
        <v>131</v>
      </c>
      <c r="L33" s="97" t="s">
        <v>32</v>
      </c>
    </row>
    <row r="34" customFormat="false" ht="33.75" hidden="false" customHeight="true" outlineLevel="0" collapsed="false">
      <c r="A34" s="101" t="s">
        <v>317</v>
      </c>
      <c r="B34" s="102" t="n">
        <f aca="false">制作工程表!$K$4</f>
        <v>46400</v>
      </c>
      <c r="C34" s="103" t="n">
        <v>0.395833333333333</v>
      </c>
      <c r="D34" s="103" t="n">
        <v>0.458333333333333</v>
      </c>
      <c r="E34" s="72" t="n">
        <f aca="false">ROUND((D34-C34)*1440,0)</f>
        <v>90</v>
      </c>
      <c r="F34" s="73" t="s">
        <v>716</v>
      </c>
      <c r="G34" s="74" t="s">
        <v>135</v>
      </c>
      <c r="H34" s="74" t="s">
        <v>316</v>
      </c>
      <c r="I34" s="88" t="s">
        <v>717</v>
      </c>
      <c r="J34" s="74" t="s">
        <v>718</v>
      </c>
      <c r="K34" s="74" t="s">
        <v>198</v>
      </c>
      <c r="L34" s="72" t="s">
        <v>32</v>
      </c>
    </row>
    <row r="35" customFormat="false" ht="33.75" hidden="false" customHeight="true" outlineLevel="0" collapsed="false">
      <c r="A35" s="92" t="s">
        <v>719</v>
      </c>
      <c r="B35" s="93" t="n">
        <f aca="false">制作工程表!$K$4</f>
        <v>46400</v>
      </c>
      <c r="C35" s="94" t="n">
        <v>0.458333333333333</v>
      </c>
      <c r="D35" s="94" t="n">
        <v>0.520833333333333</v>
      </c>
      <c r="E35" s="95" t="n">
        <f aca="false">ROUND((D35-C35)*1440,0)</f>
        <v>90</v>
      </c>
      <c r="F35" s="96" t="s">
        <v>720</v>
      </c>
      <c r="G35" s="96" t="s">
        <v>654</v>
      </c>
      <c r="H35" s="96" t="s">
        <v>721</v>
      </c>
      <c r="I35" s="97" t="s">
        <v>135</v>
      </c>
      <c r="J35" s="96" t="s">
        <v>722</v>
      </c>
      <c r="K35" s="96" t="s">
        <v>654</v>
      </c>
      <c r="L35" s="97" t="s">
        <v>32</v>
      </c>
    </row>
    <row r="36" customFormat="false" ht="33.75" hidden="false" customHeight="true" outlineLevel="0" collapsed="false">
      <c r="A36" s="98" t="s">
        <v>399</v>
      </c>
      <c r="B36" s="99" t="n">
        <f aca="false">制作工程表!$K$4</f>
        <v>46400</v>
      </c>
      <c r="C36" s="100" t="n">
        <v>0.520833333333333</v>
      </c>
      <c r="D36" s="100" t="n">
        <v>0.583333333333333</v>
      </c>
      <c r="E36" s="80" t="n">
        <f aca="false">ROUND((D36-C36)*1440,0)</f>
        <v>90</v>
      </c>
      <c r="F36" s="81" t="s">
        <v>723</v>
      </c>
      <c r="G36" s="82" t="s">
        <v>135</v>
      </c>
      <c r="H36" s="82" t="s">
        <v>398</v>
      </c>
      <c r="I36" s="84" t="s">
        <v>724</v>
      </c>
      <c r="J36" s="82" t="s">
        <v>725</v>
      </c>
      <c r="K36" s="82" t="s">
        <v>198</v>
      </c>
      <c r="L36" s="80" t="s">
        <v>32</v>
      </c>
    </row>
    <row r="37" customFormat="false" ht="33.75" hidden="false" customHeight="true" outlineLevel="0" collapsed="false">
      <c r="A37" s="92" t="s">
        <v>726</v>
      </c>
      <c r="B37" s="93" t="n">
        <f aca="false">制作工程表!$K$4</f>
        <v>46400</v>
      </c>
      <c r="C37" s="94" t="n">
        <v>0.583333333333333</v>
      </c>
      <c r="D37" s="94" t="n">
        <v>0.625</v>
      </c>
      <c r="E37" s="95" t="n">
        <f aca="false">ROUND((D37-C37)*1440,0)</f>
        <v>60</v>
      </c>
      <c r="F37" s="96" t="s">
        <v>727</v>
      </c>
      <c r="G37" s="96" t="s">
        <v>654</v>
      </c>
      <c r="H37" s="96" t="s">
        <v>721</v>
      </c>
      <c r="I37" s="97" t="s">
        <v>135</v>
      </c>
      <c r="J37" s="96"/>
      <c r="K37" s="96" t="s">
        <v>654</v>
      </c>
      <c r="L37" s="97" t="s">
        <v>32</v>
      </c>
    </row>
    <row r="38" customFormat="false" ht="33.75" hidden="false" customHeight="true" outlineLevel="0" collapsed="false">
      <c r="A38" s="101" t="s">
        <v>334</v>
      </c>
      <c r="B38" s="102" t="n">
        <f aca="false">制作工程表!$K$4</f>
        <v>46400</v>
      </c>
      <c r="C38" s="103" t="n">
        <v>0.625</v>
      </c>
      <c r="D38" s="103" t="n">
        <v>0.6875</v>
      </c>
      <c r="E38" s="72" t="n">
        <f aca="false">ROUND((D38-C38)*1440,0)</f>
        <v>90</v>
      </c>
      <c r="F38" s="73" t="s">
        <v>728</v>
      </c>
      <c r="G38" s="74" t="s">
        <v>135</v>
      </c>
      <c r="H38" s="74" t="s">
        <v>333</v>
      </c>
      <c r="I38" s="88" t="s">
        <v>729</v>
      </c>
      <c r="J38" s="74" t="s">
        <v>730</v>
      </c>
      <c r="K38" s="74" t="s">
        <v>198</v>
      </c>
      <c r="L38" s="72" t="s">
        <v>32</v>
      </c>
    </row>
    <row r="39" customFormat="false" ht="33.75" hidden="false" customHeight="true" outlineLevel="0" collapsed="false">
      <c r="A39" s="92" t="s">
        <v>731</v>
      </c>
      <c r="B39" s="93" t="n">
        <f aca="false">制作工程表!$K$4</f>
        <v>46400</v>
      </c>
      <c r="C39" s="94" t="n">
        <v>0.6875</v>
      </c>
      <c r="D39" s="94" t="n">
        <v>0.708333333333333</v>
      </c>
      <c r="E39" s="95" t="n">
        <f aca="false">ROUND((D39-C39)*1440,0)</f>
        <v>30</v>
      </c>
      <c r="F39" s="96" t="s">
        <v>732</v>
      </c>
      <c r="G39" s="96" t="s">
        <v>733</v>
      </c>
      <c r="H39" s="96" t="s">
        <v>333</v>
      </c>
      <c r="I39" s="97" t="s">
        <v>135</v>
      </c>
      <c r="J39" s="96" t="s">
        <v>734</v>
      </c>
      <c r="K39" s="96" t="s">
        <v>654</v>
      </c>
      <c r="L39" s="97" t="s">
        <v>32</v>
      </c>
    </row>
  </sheetData>
  <mergeCells count="3">
    <mergeCell ref="A4:L4"/>
    <mergeCell ref="A5:L5"/>
    <mergeCell ref="A6:L6"/>
  </mergeCells>
  <conditionalFormatting sqref="L9:L39">
    <cfRule type="cellIs" priority="2" operator="equal" aboveAverage="0" equalAverage="0" bottom="0" percent="0" rank="0" text="" dxfId="9">
      <formula>"未着手"</formula>
    </cfRule>
    <cfRule type="cellIs" priority="3" operator="equal" aboveAverage="0" equalAverage="0" bottom="0" percent="0" rank="0" text="" dxfId="10">
      <formula>"進行中"</formula>
    </cfRule>
    <cfRule type="cellIs" priority="4" operator="equal" aboveAverage="0" equalAverage="0" bottom="0" percent="0" rank="0" text="" dxfId="11">
      <formula>"確認待ち"</formula>
    </cfRule>
    <cfRule type="cellIs" priority="5" operator="equal" aboveAverage="0" equalAverage="0" bottom="0" percent="0" rank="0" text="" dxfId="12">
      <formula>"完了"</formula>
    </cfRule>
    <cfRule type="cellIs" priority="6" operator="equal" aboveAverage="0" equalAverage="0" bottom="0" percent="0" rank="0" text="" dxfId="13">
      <formula>"要調整"</formula>
    </cfRule>
  </conditionalFormatting>
  <dataValidations count="1">
    <dataValidation allowBlank="true" errorStyle="stop" operator="between" showDropDown="false" showErrorMessage="false" showInputMessage="false" sqref="L9:L39" type="list">
      <formula1>"未着手,進行中,確認待ち,完了,要調整"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A93B"/>
    <pageSetUpPr fitToPage="true"/>
  </sheetPr>
  <dimension ref="A1:H56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14.38"/>
    <col collapsed="false" customWidth="true" hidden="false" outlineLevel="0" max="3" min="3" style="1" width="38.75"/>
    <col collapsed="false" customWidth="true" hidden="false" outlineLevel="0" max="4" min="4" style="1" width="30"/>
    <col collapsed="false" customWidth="true" hidden="false" outlineLevel="0" max="5" min="5" style="1" width="22.5"/>
    <col collapsed="false" customWidth="true" hidden="false" outlineLevel="0" max="6" min="6" style="1" width="13.13"/>
    <col collapsed="false" customWidth="true" hidden="false" outlineLevel="0" max="7" min="7" style="1" width="42.5"/>
    <col collapsed="false" customWidth="true" hidden="false" outlineLevel="0" max="8" min="8" style="1" width="11.89"/>
  </cols>
  <sheetData>
    <row r="1" customFormat="false" ht="6" hidden="false" customHeight="true" outlineLevel="0" collapsed="false">
      <c r="A1" s="60"/>
      <c r="B1" s="60"/>
      <c r="C1" s="61"/>
      <c r="D1" s="61"/>
      <c r="E1" s="61"/>
      <c r="F1" s="61"/>
      <c r="G1" s="61"/>
      <c r="H1" s="61"/>
    </row>
    <row r="2" customFormat="false" ht="36" hidden="false" customHeight="true" outlineLevel="0" collapsed="false">
      <c r="A2" s="29" t="s">
        <v>735</v>
      </c>
      <c r="B2" s="61"/>
      <c r="C2" s="61"/>
      <c r="D2" s="61"/>
      <c r="E2" s="61"/>
      <c r="F2" s="61"/>
      <c r="G2" s="61"/>
      <c r="H2" s="61"/>
    </row>
    <row r="3" customFormat="false" ht="18" hidden="false" customHeight="true" outlineLevel="0" collapsed="false">
      <c r="A3" s="62" t="s">
        <v>736</v>
      </c>
      <c r="B3" s="63"/>
      <c r="C3" s="63"/>
      <c r="D3" s="63"/>
      <c r="E3" s="63"/>
      <c r="F3" s="63"/>
      <c r="G3" s="63"/>
      <c r="H3" s="63"/>
    </row>
    <row r="4" customFormat="false" ht="24.75" hidden="false" customHeight="true" outlineLevel="0" collapsed="false">
      <c r="A4" s="67" t="s">
        <v>737</v>
      </c>
      <c r="B4" s="67"/>
      <c r="C4" s="67"/>
      <c r="D4" s="67"/>
      <c r="E4" s="67"/>
      <c r="F4" s="67"/>
      <c r="G4" s="67"/>
      <c r="H4" s="67"/>
    </row>
    <row r="5" customFormat="false" ht="24.75" hidden="false" customHeight="true" outlineLevel="0" collapsed="false">
      <c r="A5" s="67" t="s">
        <v>738</v>
      </c>
      <c r="B5" s="67"/>
      <c r="C5" s="67"/>
      <c r="D5" s="67"/>
      <c r="E5" s="67"/>
      <c r="F5" s="67"/>
      <c r="G5" s="67"/>
      <c r="H5" s="67"/>
    </row>
    <row r="6" customFormat="false" ht="24.75" hidden="false" customHeight="true" outlineLevel="0" collapsed="false">
      <c r="A6" s="67" t="s">
        <v>739</v>
      </c>
      <c r="B6" s="67"/>
      <c r="C6" s="67"/>
      <c r="D6" s="67"/>
      <c r="E6" s="67"/>
      <c r="F6" s="67"/>
      <c r="G6" s="67"/>
      <c r="H6" s="67"/>
    </row>
    <row r="7" customFormat="false" ht="15" hidden="false" customHeight="true" outlineLevel="0" collapsed="false">
      <c r="A7" s="61"/>
      <c r="B7" s="61"/>
      <c r="C7" s="61"/>
      <c r="D7" s="61"/>
      <c r="E7" s="61"/>
      <c r="F7" s="61"/>
      <c r="G7" s="61"/>
      <c r="H7" s="61"/>
    </row>
    <row r="8" customFormat="false" ht="33.75" hidden="false" customHeight="true" outlineLevel="0" collapsed="false">
      <c r="A8" s="69" t="s">
        <v>67</v>
      </c>
      <c r="B8" s="10" t="s">
        <v>72</v>
      </c>
      <c r="C8" s="10" t="s">
        <v>740</v>
      </c>
      <c r="D8" s="10" t="s">
        <v>741</v>
      </c>
      <c r="E8" s="10" t="s">
        <v>742</v>
      </c>
      <c r="F8" s="10" t="s">
        <v>743</v>
      </c>
      <c r="G8" s="10" t="s">
        <v>744</v>
      </c>
      <c r="H8" s="10" t="s">
        <v>101</v>
      </c>
    </row>
    <row r="9" customFormat="false" ht="36" hidden="false" customHeight="true" outlineLevel="0" collapsed="false">
      <c r="A9" s="71" t="s">
        <v>745</v>
      </c>
      <c r="B9" s="72" t="s">
        <v>746</v>
      </c>
      <c r="C9" s="73" t="s">
        <v>747</v>
      </c>
      <c r="D9" s="74" t="s">
        <v>132</v>
      </c>
      <c r="E9" s="74" t="s">
        <v>131</v>
      </c>
      <c r="F9" s="102" t="n">
        <f aca="false">WORKDAY(制作工程表!$B$4-1,8,制作工程表!$AL$9:$AL$40)</f>
        <v>46338</v>
      </c>
      <c r="G9" s="74" t="s">
        <v>748</v>
      </c>
      <c r="H9" s="72" t="s">
        <v>32</v>
      </c>
    </row>
    <row r="10" customFormat="false" ht="36" hidden="false" customHeight="true" outlineLevel="0" collapsed="false">
      <c r="A10" s="79" t="s">
        <v>749</v>
      </c>
      <c r="B10" s="80" t="s">
        <v>750</v>
      </c>
      <c r="C10" s="81" t="s">
        <v>751</v>
      </c>
      <c r="D10" s="82" t="s">
        <v>159</v>
      </c>
      <c r="E10" s="82" t="s">
        <v>210</v>
      </c>
      <c r="F10" s="99" t="n">
        <f aca="false">WORKDAY(制作工程表!$B$4-1,29,制作工程表!$AL$9:$AL$40)</f>
        <v>46370</v>
      </c>
      <c r="G10" s="82" t="s">
        <v>752</v>
      </c>
      <c r="H10" s="80" t="s">
        <v>32</v>
      </c>
    </row>
    <row r="11" customFormat="false" ht="36" hidden="false" customHeight="true" outlineLevel="0" collapsed="false">
      <c r="A11" s="71" t="s">
        <v>753</v>
      </c>
      <c r="B11" s="72" t="s">
        <v>754</v>
      </c>
      <c r="C11" s="73" t="s">
        <v>755</v>
      </c>
      <c r="D11" s="74" t="s">
        <v>159</v>
      </c>
      <c r="E11" s="74" t="s">
        <v>160</v>
      </c>
      <c r="F11" s="102" t="n">
        <f aca="false">WORKDAY(制作工程表!$B$4-1,29,制作工程表!$AL$9:$AL$40)</f>
        <v>46370</v>
      </c>
      <c r="G11" s="74" t="s">
        <v>756</v>
      </c>
      <c r="H11" s="72" t="s">
        <v>32</v>
      </c>
    </row>
    <row r="12" customFormat="false" ht="36" hidden="false" customHeight="true" outlineLevel="0" collapsed="false">
      <c r="A12" s="79" t="s">
        <v>757</v>
      </c>
      <c r="B12" s="80" t="s">
        <v>758</v>
      </c>
      <c r="C12" s="81" t="s">
        <v>759</v>
      </c>
      <c r="D12" s="82" t="s">
        <v>159</v>
      </c>
      <c r="E12" s="82" t="s">
        <v>171</v>
      </c>
      <c r="F12" s="99" t="n">
        <f aca="false">WORKDAY(制作工程表!$B$4-1,31,制作工程表!$AL$9:$AL$40)</f>
        <v>46372</v>
      </c>
      <c r="G12" s="82" t="s">
        <v>760</v>
      </c>
      <c r="H12" s="80" t="s">
        <v>32</v>
      </c>
    </row>
    <row r="13" customFormat="false" ht="36" hidden="false" customHeight="true" outlineLevel="0" collapsed="false">
      <c r="A13" s="71" t="s">
        <v>761</v>
      </c>
      <c r="B13" s="72" t="s">
        <v>633</v>
      </c>
      <c r="C13" s="73" t="s">
        <v>762</v>
      </c>
      <c r="D13" s="74" t="s">
        <v>132</v>
      </c>
      <c r="E13" s="74" t="s">
        <v>633</v>
      </c>
      <c r="F13" s="102" t="n">
        <f aca="false">WORKDAY(制作工程表!$B$4-1,31,制作工程表!$AL$9:$AL$40)</f>
        <v>46372</v>
      </c>
      <c r="G13" s="74" t="s">
        <v>763</v>
      </c>
      <c r="H13" s="72" t="s">
        <v>32</v>
      </c>
    </row>
    <row r="14" customFormat="false" ht="36" hidden="false" customHeight="true" outlineLevel="0" collapsed="false">
      <c r="A14" s="79" t="s">
        <v>764</v>
      </c>
      <c r="B14" s="80" t="s">
        <v>765</v>
      </c>
      <c r="C14" s="81" t="s">
        <v>766</v>
      </c>
      <c r="D14" s="82" t="s">
        <v>132</v>
      </c>
      <c r="E14" s="82" t="s">
        <v>767</v>
      </c>
      <c r="F14" s="99" t="n">
        <f aca="false">WORKDAY(制作工程表!$B$4-1,31,制作工程表!$AL$9:$AL$40)</f>
        <v>46372</v>
      </c>
      <c r="G14" s="82" t="s">
        <v>768</v>
      </c>
      <c r="H14" s="80" t="s">
        <v>32</v>
      </c>
    </row>
    <row r="15" customFormat="false" ht="36" hidden="false" customHeight="true" outlineLevel="0" collapsed="false">
      <c r="A15" s="71" t="s">
        <v>769</v>
      </c>
      <c r="B15" s="72" t="s">
        <v>770</v>
      </c>
      <c r="C15" s="73" t="s">
        <v>771</v>
      </c>
      <c r="D15" s="74" t="s">
        <v>183</v>
      </c>
      <c r="E15" s="74" t="s">
        <v>198</v>
      </c>
      <c r="F15" s="102" t="n">
        <f aca="false">WORKDAY(制作工程表!$B$4-1,31,制作工程表!$AL$9:$AL$40)</f>
        <v>46372</v>
      </c>
      <c r="G15" s="74" t="s">
        <v>772</v>
      </c>
      <c r="H15" s="72" t="s">
        <v>32</v>
      </c>
    </row>
    <row r="16" customFormat="false" ht="36" hidden="false" customHeight="true" outlineLevel="0" collapsed="false">
      <c r="A16" s="79" t="s">
        <v>773</v>
      </c>
      <c r="B16" s="80" t="s">
        <v>774</v>
      </c>
      <c r="C16" s="81" t="s">
        <v>775</v>
      </c>
      <c r="D16" s="82" t="s">
        <v>159</v>
      </c>
      <c r="E16" s="82" t="s">
        <v>198</v>
      </c>
      <c r="F16" s="99" t="n">
        <f aca="false">WORKDAY(制作工程表!$B$4-1,38,制作工程表!$AL$9:$AL$40)</f>
        <v>46381</v>
      </c>
      <c r="G16" s="82" t="s">
        <v>776</v>
      </c>
      <c r="H16" s="80" t="s">
        <v>32</v>
      </c>
    </row>
    <row r="17" customFormat="false" ht="36" hidden="false" customHeight="true" outlineLevel="0" collapsed="false">
      <c r="A17" s="71" t="s">
        <v>777</v>
      </c>
      <c r="B17" s="72" t="s">
        <v>778</v>
      </c>
      <c r="C17" s="73" t="s">
        <v>779</v>
      </c>
      <c r="D17" s="74" t="s">
        <v>132</v>
      </c>
      <c r="E17" s="74" t="s">
        <v>633</v>
      </c>
      <c r="F17" s="102" t="n">
        <f aca="false">WORKDAY(制作工程表!$B$4-1,38,制作工程表!$AL$9:$AL$40)</f>
        <v>46381</v>
      </c>
      <c r="G17" s="74" t="s">
        <v>780</v>
      </c>
      <c r="H17" s="72" t="s">
        <v>32</v>
      </c>
    </row>
    <row r="18" customFormat="false" ht="36" hidden="false" customHeight="true" outlineLevel="0" collapsed="false">
      <c r="A18" s="79" t="s">
        <v>781</v>
      </c>
      <c r="B18" s="80" t="s">
        <v>782</v>
      </c>
      <c r="C18" s="81" t="s">
        <v>783</v>
      </c>
      <c r="D18" s="82" t="s">
        <v>131</v>
      </c>
      <c r="E18" s="82" t="s">
        <v>132</v>
      </c>
      <c r="F18" s="99" t="n">
        <f aca="false">WORKDAY(制作工程表!$B$4-1,38,制作工程表!$AL$9:$AL$40)</f>
        <v>46381</v>
      </c>
      <c r="G18" s="82" t="s">
        <v>784</v>
      </c>
      <c r="H18" s="80" t="s">
        <v>32</v>
      </c>
    </row>
    <row r="19" customFormat="false" ht="36" hidden="false" customHeight="true" outlineLevel="0" collapsed="false">
      <c r="A19" s="71" t="s">
        <v>785</v>
      </c>
      <c r="B19" s="72" t="s">
        <v>786</v>
      </c>
      <c r="C19" s="73" t="s">
        <v>787</v>
      </c>
      <c r="D19" s="74" t="s">
        <v>132</v>
      </c>
      <c r="E19" s="74" t="s">
        <v>237</v>
      </c>
      <c r="F19" s="102" t="n">
        <f aca="false">WORKDAY(制作工程表!$B$4-1,50,制作工程表!$AL$9:$AL$40)</f>
        <v>46407</v>
      </c>
      <c r="G19" s="74" t="s">
        <v>788</v>
      </c>
      <c r="H19" s="72" t="s">
        <v>32</v>
      </c>
    </row>
    <row r="20" customFormat="false" ht="36" hidden="false" customHeight="true" outlineLevel="0" collapsed="false">
      <c r="A20" s="79" t="s">
        <v>789</v>
      </c>
      <c r="B20" s="80" t="s">
        <v>215</v>
      </c>
      <c r="C20" s="81" t="s">
        <v>790</v>
      </c>
      <c r="D20" s="82" t="s">
        <v>132</v>
      </c>
      <c r="E20" s="82" t="s">
        <v>144</v>
      </c>
      <c r="F20" s="99" t="n">
        <f aca="false">WORKDAY(制作工程表!$B$4-1,64,制作工程表!$AL$9:$AL$40)</f>
        <v>46427</v>
      </c>
      <c r="G20" s="82" t="s">
        <v>791</v>
      </c>
      <c r="H20" s="80" t="s">
        <v>32</v>
      </c>
    </row>
    <row r="21" customFormat="false" ht="36" hidden="false" customHeight="true" outlineLevel="0" collapsed="false">
      <c r="A21" s="71" t="s">
        <v>792</v>
      </c>
      <c r="B21" s="72" t="s">
        <v>793</v>
      </c>
      <c r="C21" s="73" t="s">
        <v>794</v>
      </c>
      <c r="D21" s="74" t="s">
        <v>132</v>
      </c>
      <c r="E21" s="74" t="s">
        <v>246</v>
      </c>
      <c r="F21" s="102" t="n">
        <f aca="false">WORKDAY(制作工程表!$B$4-1,76,制作工程表!$AL$9:$AL$40)</f>
        <v>46447</v>
      </c>
      <c r="G21" s="74" t="s">
        <v>795</v>
      </c>
      <c r="H21" s="72" t="s">
        <v>32</v>
      </c>
    </row>
    <row r="22" customFormat="false" ht="36" hidden="false" customHeight="true" outlineLevel="0" collapsed="false">
      <c r="A22" s="79" t="s">
        <v>796</v>
      </c>
      <c r="B22" s="80" t="s">
        <v>797</v>
      </c>
      <c r="C22" s="81" t="s">
        <v>798</v>
      </c>
      <c r="D22" s="82" t="s">
        <v>132</v>
      </c>
      <c r="E22" s="82" t="s">
        <v>237</v>
      </c>
      <c r="F22" s="99" t="n">
        <f aca="false">WORKDAY(制作工程表!$B$4-1,98,制作工程表!$AL$9:$AL$40)</f>
        <v>46478</v>
      </c>
      <c r="G22" s="82" t="s">
        <v>799</v>
      </c>
      <c r="H22" s="80" t="s">
        <v>32</v>
      </c>
    </row>
    <row r="25" customFormat="false" ht="27.75" hidden="false" customHeight="true" outlineLevel="0" collapsed="false">
      <c r="A25" s="9" t="s">
        <v>800</v>
      </c>
    </row>
    <row r="27" customFormat="false" ht="33.75" hidden="false" customHeight="true" outlineLevel="0" collapsed="false">
      <c r="A27" s="10" t="s">
        <v>801</v>
      </c>
      <c r="B27" s="10" t="s">
        <v>802</v>
      </c>
      <c r="C27" s="10" t="s">
        <v>803</v>
      </c>
      <c r="D27" s="10" t="s">
        <v>804</v>
      </c>
      <c r="E27" s="10" t="s">
        <v>805</v>
      </c>
      <c r="F27" s="10" t="s">
        <v>806</v>
      </c>
      <c r="G27" s="10" t="s">
        <v>807</v>
      </c>
    </row>
    <row r="28" customFormat="false" ht="39.75" hidden="false" customHeight="true" outlineLevel="0" collapsed="false">
      <c r="A28" s="73" t="s">
        <v>808</v>
      </c>
      <c r="B28" s="74" t="s">
        <v>809</v>
      </c>
      <c r="C28" s="72" t="s">
        <v>810</v>
      </c>
      <c r="D28" s="105" t="s">
        <v>811</v>
      </c>
      <c r="E28" s="74" t="s">
        <v>812</v>
      </c>
      <c r="F28" s="74" t="s">
        <v>813</v>
      </c>
      <c r="G28" s="74" t="s">
        <v>814</v>
      </c>
    </row>
    <row r="29" customFormat="false" ht="39.75" hidden="false" customHeight="true" outlineLevel="0" collapsed="false">
      <c r="A29" s="81" t="s">
        <v>346</v>
      </c>
      <c r="B29" s="82" t="s">
        <v>815</v>
      </c>
      <c r="C29" s="80" t="s">
        <v>816</v>
      </c>
      <c r="D29" s="83" t="s">
        <v>817</v>
      </c>
      <c r="E29" s="82" t="s">
        <v>818</v>
      </c>
      <c r="F29" s="82" t="s">
        <v>819</v>
      </c>
      <c r="G29" s="82" t="s">
        <v>820</v>
      </c>
    </row>
    <row r="30" customFormat="false" ht="39.75" hidden="false" customHeight="true" outlineLevel="0" collapsed="false">
      <c r="A30" s="73" t="s">
        <v>606</v>
      </c>
      <c r="B30" s="74" t="s">
        <v>821</v>
      </c>
      <c r="C30" s="72" t="s">
        <v>816</v>
      </c>
      <c r="D30" s="105" t="s">
        <v>822</v>
      </c>
      <c r="E30" s="74" t="s">
        <v>823</v>
      </c>
      <c r="F30" s="74" t="s">
        <v>824</v>
      </c>
      <c r="G30" s="74" t="s">
        <v>825</v>
      </c>
    </row>
    <row r="31" customFormat="false" ht="39.75" hidden="false" customHeight="true" outlineLevel="0" collapsed="false">
      <c r="A31" s="81" t="s">
        <v>826</v>
      </c>
      <c r="B31" s="82" t="s">
        <v>827</v>
      </c>
      <c r="C31" s="80" t="s">
        <v>810</v>
      </c>
      <c r="D31" s="83" t="s">
        <v>828</v>
      </c>
      <c r="E31" s="82" t="s">
        <v>829</v>
      </c>
      <c r="F31" s="82" t="s">
        <v>830</v>
      </c>
      <c r="G31" s="82" t="s">
        <v>831</v>
      </c>
    </row>
    <row r="32" customFormat="false" ht="39.75" hidden="false" customHeight="true" outlineLevel="0" collapsed="false">
      <c r="A32" s="73" t="s">
        <v>624</v>
      </c>
      <c r="B32" s="74" t="s">
        <v>832</v>
      </c>
      <c r="C32" s="72" t="s">
        <v>816</v>
      </c>
      <c r="D32" s="105" t="s">
        <v>833</v>
      </c>
      <c r="E32" s="74" t="s">
        <v>834</v>
      </c>
      <c r="F32" s="74" t="s">
        <v>835</v>
      </c>
      <c r="G32" s="74" t="s">
        <v>836</v>
      </c>
    </row>
    <row r="33" customFormat="false" ht="39.75" hidden="false" customHeight="true" outlineLevel="0" collapsed="false">
      <c r="A33" s="81" t="s">
        <v>837</v>
      </c>
      <c r="B33" s="82" t="s">
        <v>838</v>
      </c>
      <c r="C33" s="80" t="s">
        <v>810</v>
      </c>
      <c r="D33" s="83" t="s">
        <v>839</v>
      </c>
      <c r="E33" s="82" t="s">
        <v>840</v>
      </c>
      <c r="F33" s="82" t="s">
        <v>841</v>
      </c>
      <c r="G33" s="82" t="s">
        <v>842</v>
      </c>
    </row>
    <row r="34" customFormat="false" ht="39.75" hidden="false" customHeight="true" outlineLevel="0" collapsed="false">
      <c r="A34" s="73" t="s">
        <v>843</v>
      </c>
      <c r="B34" s="74" t="s">
        <v>844</v>
      </c>
      <c r="C34" s="72" t="s">
        <v>758</v>
      </c>
      <c r="D34" s="105" t="s">
        <v>845</v>
      </c>
      <c r="E34" s="74" t="s">
        <v>846</v>
      </c>
      <c r="F34" s="74" t="s">
        <v>134</v>
      </c>
      <c r="G34" s="74" t="s">
        <v>847</v>
      </c>
    </row>
    <row r="37" customFormat="false" ht="27.75" hidden="false" customHeight="true" outlineLevel="0" collapsed="false">
      <c r="A37" s="9" t="s">
        <v>848</v>
      </c>
    </row>
    <row r="39" customFormat="false" ht="33.75" hidden="false" customHeight="true" outlineLevel="0" collapsed="false">
      <c r="A39" s="10" t="s">
        <v>849</v>
      </c>
      <c r="B39" s="10" t="s">
        <v>850</v>
      </c>
      <c r="C39" s="106" t="s">
        <v>851</v>
      </c>
    </row>
    <row r="40" customFormat="false" ht="25.5" hidden="false" customHeight="true" outlineLevel="0" collapsed="false">
      <c r="A40" s="107" t="s">
        <v>237</v>
      </c>
      <c r="B40" s="108" t="s">
        <v>281</v>
      </c>
      <c r="C40" s="109" t="s">
        <v>852</v>
      </c>
      <c r="D40" s="109"/>
      <c r="E40" s="109"/>
      <c r="F40" s="109"/>
      <c r="G40" s="109"/>
      <c r="H40" s="109"/>
    </row>
    <row r="41" customFormat="false" ht="25.5" hidden="false" customHeight="true" outlineLevel="0" collapsed="false">
      <c r="A41" s="110" t="s">
        <v>237</v>
      </c>
      <c r="B41" s="111" t="s">
        <v>292</v>
      </c>
      <c r="C41" s="112" t="s">
        <v>853</v>
      </c>
      <c r="D41" s="112"/>
      <c r="E41" s="112"/>
      <c r="F41" s="112"/>
      <c r="G41" s="112"/>
      <c r="H41" s="112"/>
    </row>
    <row r="42" customFormat="false" ht="25.5" hidden="false" customHeight="true" outlineLevel="0" collapsed="false">
      <c r="A42" s="107" t="s">
        <v>237</v>
      </c>
      <c r="B42" s="108" t="s">
        <v>301</v>
      </c>
      <c r="C42" s="109" t="s">
        <v>854</v>
      </c>
      <c r="D42" s="109"/>
      <c r="E42" s="109"/>
      <c r="F42" s="109"/>
      <c r="G42" s="109"/>
      <c r="H42" s="109"/>
    </row>
    <row r="43" customFormat="false" ht="25.5" hidden="false" customHeight="true" outlineLevel="0" collapsed="false">
      <c r="A43" s="110" t="s">
        <v>237</v>
      </c>
      <c r="B43" s="111" t="s">
        <v>305</v>
      </c>
      <c r="C43" s="112" t="s">
        <v>855</v>
      </c>
      <c r="D43" s="112"/>
      <c r="E43" s="112"/>
      <c r="F43" s="112"/>
      <c r="G43" s="112"/>
      <c r="H43" s="112"/>
    </row>
    <row r="44" customFormat="false" ht="25.5" hidden="false" customHeight="true" outlineLevel="0" collapsed="false">
      <c r="A44" s="107" t="s">
        <v>237</v>
      </c>
      <c r="B44" s="108" t="s">
        <v>311</v>
      </c>
      <c r="C44" s="109" t="s">
        <v>856</v>
      </c>
      <c r="D44" s="109"/>
      <c r="E44" s="109"/>
      <c r="F44" s="109"/>
      <c r="G44" s="109"/>
      <c r="H44" s="109"/>
    </row>
    <row r="45" customFormat="false" ht="25.5" hidden="false" customHeight="true" outlineLevel="0" collapsed="false">
      <c r="A45" s="110" t="s">
        <v>346</v>
      </c>
      <c r="B45" s="111" t="s">
        <v>281</v>
      </c>
      <c r="C45" s="112" t="s">
        <v>857</v>
      </c>
      <c r="D45" s="112"/>
      <c r="E45" s="112"/>
      <c r="F45" s="112"/>
      <c r="G45" s="112"/>
      <c r="H45" s="112"/>
    </row>
    <row r="46" customFormat="false" ht="25.5" hidden="false" customHeight="true" outlineLevel="0" collapsed="false">
      <c r="A46" s="107" t="s">
        <v>346</v>
      </c>
      <c r="B46" s="108" t="s">
        <v>292</v>
      </c>
      <c r="C46" s="109" t="s">
        <v>858</v>
      </c>
      <c r="D46" s="109"/>
      <c r="E46" s="109"/>
      <c r="F46" s="109"/>
      <c r="G46" s="109"/>
      <c r="H46" s="109"/>
    </row>
    <row r="47" customFormat="false" ht="25.5" hidden="false" customHeight="true" outlineLevel="0" collapsed="false">
      <c r="A47" s="110" t="s">
        <v>346</v>
      </c>
      <c r="B47" s="111" t="s">
        <v>301</v>
      </c>
      <c r="C47" s="112" t="s">
        <v>859</v>
      </c>
      <c r="D47" s="112"/>
      <c r="E47" s="112"/>
      <c r="F47" s="112"/>
      <c r="G47" s="112"/>
      <c r="H47" s="112"/>
    </row>
    <row r="48" customFormat="false" ht="25.5" hidden="false" customHeight="true" outlineLevel="0" collapsed="false">
      <c r="A48" s="107" t="s">
        <v>346</v>
      </c>
      <c r="B48" s="108" t="s">
        <v>305</v>
      </c>
      <c r="C48" s="109" t="s">
        <v>860</v>
      </c>
      <c r="D48" s="109"/>
      <c r="E48" s="109"/>
      <c r="F48" s="109"/>
      <c r="G48" s="109"/>
      <c r="H48" s="109"/>
    </row>
    <row r="49" customFormat="false" ht="25.5" hidden="false" customHeight="true" outlineLevel="0" collapsed="false">
      <c r="A49" s="110" t="s">
        <v>606</v>
      </c>
      <c r="B49" s="111" t="s">
        <v>281</v>
      </c>
      <c r="C49" s="112" t="s">
        <v>861</v>
      </c>
      <c r="D49" s="112"/>
      <c r="E49" s="112"/>
      <c r="F49" s="112"/>
      <c r="G49" s="112"/>
      <c r="H49" s="112"/>
    </row>
    <row r="50" customFormat="false" ht="25.5" hidden="false" customHeight="true" outlineLevel="0" collapsed="false">
      <c r="A50" s="107" t="s">
        <v>606</v>
      </c>
      <c r="B50" s="108" t="s">
        <v>292</v>
      </c>
      <c r="C50" s="109" t="s">
        <v>862</v>
      </c>
      <c r="D50" s="109"/>
      <c r="E50" s="109"/>
      <c r="F50" s="109"/>
      <c r="G50" s="109"/>
      <c r="H50" s="109"/>
    </row>
    <row r="51" customFormat="false" ht="25.5" hidden="false" customHeight="true" outlineLevel="0" collapsed="false">
      <c r="A51" s="110" t="s">
        <v>606</v>
      </c>
      <c r="B51" s="111" t="s">
        <v>301</v>
      </c>
      <c r="C51" s="112" t="s">
        <v>863</v>
      </c>
      <c r="D51" s="112"/>
      <c r="E51" s="112"/>
      <c r="F51" s="112"/>
      <c r="G51" s="112"/>
      <c r="H51" s="112"/>
    </row>
    <row r="52" customFormat="false" ht="25.5" hidden="false" customHeight="true" outlineLevel="0" collapsed="false">
      <c r="A52" s="107" t="s">
        <v>606</v>
      </c>
      <c r="B52" s="108" t="s">
        <v>305</v>
      </c>
      <c r="C52" s="109" t="s">
        <v>864</v>
      </c>
      <c r="D52" s="109"/>
      <c r="E52" s="109"/>
      <c r="F52" s="109"/>
      <c r="G52" s="109"/>
      <c r="H52" s="109"/>
    </row>
    <row r="53" customFormat="false" ht="25.5" hidden="false" customHeight="true" outlineLevel="0" collapsed="false">
      <c r="A53" s="110" t="s">
        <v>826</v>
      </c>
      <c r="B53" s="111" t="s">
        <v>281</v>
      </c>
      <c r="C53" s="112" t="s">
        <v>865</v>
      </c>
      <c r="D53" s="112"/>
      <c r="E53" s="112"/>
      <c r="F53" s="112"/>
      <c r="G53" s="112"/>
      <c r="H53" s="112"/>
    </row>
    <row r="54" customFormat="false" ht="25.5" hidden="false" customHeight="true" outlineLevel="0" collapsed="false">
      <c r="A54" s="107" t="s">
        <v>826</v>
      </c>
      <c r="B54" s="108" t="s">
        <v>292</v>
      </c>
      <c r="C54" s="109" t="s">
        <v>866</v>
      </c>
      <c r="D54" s="109"/>
      <c r="E54" s="109"/>
      <c r="F54" s="109"/>
      <c r="G54" s="109"/>
      <c r="H54" s="109"/>
    </row>
    <row r="55" customFormat="false" ht="25.5" hidden="false" customHeight="true" outlineLevel="0" collapsed="false">
      <c r="A55" s="110" t="s">
        <v>826</v>
      </c>
      <c r="B55" s="111" t="s">
        <v>301</v>
      </c>
      <c r="C55" s="112" t="s">
        <v>867</v>
      </c>
      <c r="D55" s="112"/>
      <c r="E55" s="112"/>
      <c r="F55" s="112"/>
      <c r="G55" s="112"/>
      <c r="H55" s="112"/>
    </row>
    <row r="56" customFormat="false" ht="25.5" hidden="false" customHeight="true" outlineLevel="0" collapsed="false">
      <c r="A56" s="107" t="s">
        <v>826</v>
      </c>
      <c r="B56" s="108" t="s">
        <v>305</v>
      </c>
      <c r="C56" s="109" t="s">
        <v>868</v>
      </c>
      <c r="D56" s="109"/>
      <c r="E56" s="109"/>
      <c r="F56" s="109"/>
      <c r="G56" s="109"/>
      <c r="H56" s="109"/>
    </row>
  </sheetData>
  <mergeCells count="20">
    <mergeCell ref="A4:H4"/>
    <mergeCell ref="A5:H5"/>
    <mergeCell ref="A6:H6"/>
    <mergeCell ref="C40:H40"/>
    <mergeCell ref="C41:H41"/>
    <mergeCell ref="C42:H42"/>
    <mergeCell ref="C43:H43"/>
    <mergeCell ref="C44:H44"/>
    <mergeCell ref="C45:H45"/>
    <mergeCell ref="C46:H46"/>
    <mergeCell ref="C47:H47"/>
    <mergeCell ref="C48:H48"/>
    <mergeCell ref="C49:H49"/>
    <mergeCell ref="C50:H50"/>
    <mergeCell ref="C51:H51"/>
    <mergeCell ref="C52:H52"/>
    <mergeCell ref="C53:H53"/>
    <mergeCell ref="C54:H54"/>
    <mergeCell ref="C55:H55"/>
    <mergeCell ref="C56:H56"/>
  </mergeCells>
  <conditionalFormatting sqref="H9:H22">
    <cfRule type="cellIs" priority="2" operator="equal" aboveAverage="0" equalAverage="0" bottom="0" percent="0" rank="0" text="" dxfId="9">
      <formula>"未着手"</formula>
    </cfRule>
    <cfRule type="cellIs" priority="3" operator="equal" aboveAverage="0" equalAverage="0" bottom="0" percent="0" rank="0" text="" dxfId="10">
      <formula>"進行中"</formula>
    </cfRule>
    <cfRule type="cellIs" priority="4" operator="equal" aboveAverage="0" equalAverage="0" bottom="0" percent="0" rank="0" text="" dxfId="11">
      <formula>"確認待ち"</formula>
    </cfRule>
    <cfRule type="cellIs" priority="5" operator="equal" aboveAverage="0" equalAverage="0" bottom="0" percent="0" rank="0" text="" dxfId="12">
      <formula>"完了"</formula>
    </cfRule>
    <cfRule type="cellIs" priority="6" operator="equal" aboveAverage="0" equalAverage="0" bottom="0" percent="0" rank="0" text="" dxfId="13">
      <formula>"要調整"</formula>
    </cfRule>
  </conditionalFormatting>
  <dataValidations count="1">
    <dataValidation allowBlank="true" errorStyle="stop" operator="between" showDropDown="false" showErrorMessage="false" showInputMessage="false" sqref="H9:H22" type="list">
      <formula1>"未着手,進行中,確認待ち,完了,要調整"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869E"/>
    <pageSetUpPr fitToPage="true"/>
  </sheetPr>
  <dimension ref="A1:G21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.25"/>
    <col collapsed="false" customWidth="true" hidden="false" outlineLevel="0" max="2" min="2" style="1" width="22.5"/>
    <col collapsed="false" customWidth="true" hidden="false" outlineLevel="0" max="3" min="3" style="1" width="40.63"/>
    <col collapsed="false" customWidth="true" hidden="false" outlineLevel="0" max="4" min="4" style="1" width="42.5"/>
    <col collapsed="false" customWidth="true" hidden="false" outlineLevel="0" max="5" min="5" style="1" width="15.63"/>
    <col collapsed="false" customWidth="true" hidden="false" outlineLevel="0" max="6" min="6" style="1" width="37.5"/>
    <col collapsed="false" customWidth="true" hidden="false" outlineLevel="0" max="7" min="7" style="1" width="25"/>
  </cols>
  <sheetData>
    <row r="1" customFormat="false" ht="6" hidden="false" customHeight="true" outlineLevel="0" collapsed="false">
      <c r="A1" s="60"/>
      <c r="B1" s="60"/>
      <c r="C1" s="61"/>
      <c r="D1" s="61"/>
      <c r="E1" s="61"/>
      <c r="F1" s="61"/>
      <c r="G1" s="61"/>
    </row>
    <row r="2" customFormat="false" ht="36" hidden="false" customHeight="true" outlineLevel="0" collapsed="false">
      <c r="A2" s="90" t="s">
        <v>869</v>
      </c>
      <c r="B2" s="61"/>
      <c r="C2" s="61"/>
      <c r="D2" s="61"/>
      <c r="E2" s="61"/>
      <c r="F2" s="61"/>
      <c r="G2" s="61"/>
    </row>
    <row r="3" customFormat="false" ht="18" hidden="false" customHeight="true" outlineLevel="0" collapsed="false">
      <c r="A3" s="62" t="s">
        <v>870</v>
      </c>
      <c r="B3" s="63"/>
      <c r="C3" s="63"/>
      <c r="D3" s="63"/>
      <c r="E3" s="63"/>
      <c r="F3" s="63"/>
      <c r="G3" s="63"/>
    </row>
    <row r="4" customFormat="false" ht="24.75" hidden="false" customHeight="true" outlineLevel="0" collapsed="false">
      <c r="A4" s="67" t="s">
        <v>871</v>
      </c>
      <c r="B4" s="67"/>
      <c r="C4" s="67"/>
      <c r="D4" s="67"/>
      <c r="E4" s="67"/>
      <c r="F4" s="67"/>
      <c r="G4" s="67"/>
    </row>
    <row r="5" customFormat="false" ht="24.75" hidden="false" customHeight="true" outlineLevel="0" collapsed="false">
      <c r="A5" s="67" t="s">
        <v>872</v>
      </c>
      <c r="B5" s="67"/>
      <c r="C5" s="67"/>
      <c r="D5" s="67"/>
      <c r="E5" s="67"/>
      <c r="F5" s="67"/>
      <c r="G5" s="67"/>
    </row>
    <row r="6" customFormat="false" ht="24.75" hidden="false" customHeight="true" outlineLevel="0" collapsed="false">
      <c r="A6" s="67" t="s">
        <v>873</v>
      </c>
      <c r="B6" s="67"/>
      <c r="C6" s="67"/>
      <c r="D6" s="67"/>
      <c r="E6" s="67"/>
      <c r="F6" s="67"/>
      <c r="G6" s="67"/>
    </row>
    <row r="7" customFormat="false" ht="15" hidden="false" customHeight="true" outlineLevel="0" collapsed="false">
      <c r="A7" s="61"/>
      <c r="B7" s="61"/>
      <c r="C7" s="61"/>
      <c r="D7" s="61"/>
      <c r="E7" s="61"/>
      <c r="F7" s="61"/>
      <c r="G7" s="61"/>
    </row>
    <row r="8" customFormat="false" ht="33.75" hidden="false" customHeight="true" outlineLevel="0" collapsed="false">
      <c r="A8" s="10" t="s">
        <v>874</v>
      </c>
      <c r="B8" s="10" t="s">
        <v>875</v>
      </c>
      <c r="C8" s="10" t="s">
        <v>876</v>
      </c>
      <c r="D8" s="10" t="s">
        <v>877</v>
      </c>
      <c r="E8" s="10" t="s">
        <v>268</v>
      </c>
      <c r="F8" s="10" t="s">
        <v>878</v>
      </c>
      <c r="G8" s="10" t="s">
        <v>879</v>
      </c>
    </row>
    <row r="9" customFormat="false" ht="39.75" hidden="false" customHeight="true" outlineLevel="0" collapsed="false">
      <c r="A9" s="87" t="s">
        <v>281</v>
      </c>
      <c r="B9" s="73" t="s">
        <v>283</v>
      </c>
      <c r="C9" s="73" t="s">
        <v>880</v>
      </c>
      <c r="D9" s="74" t="s">
        <v>881</v>
      </c>
      <c r="E9" s="88" t="s">
        <v>882</v>
      </c>
      <c r="F9" s="74" t="s">
        <v>883</v>
      </c>
      <c r="G9" s="74" t="s">
        <v>884</v>
      </c>
    </row>
    <row r="10" customFormat="false" ht="39.75" hidden="false" customHeight="true" outlineLevel="0" collapsed="false">
      <c r="A10" s="89" t="s">
        <v>292</v>
      </c>
      <c r="B10" s="113" t="s">
        <v>389</v>
      </c>
      <c r="C10" s="81" t="s">
        <v>885</v>
      </c>
      <c r="D10" s="86" t="s">
        <v>886</v>
      </c>
      <c r="E10" s="84" t="s">
        <v>887</v>
      </c>
      <c r="F10" s="82" t="s">
        <v>888</v>
      </c>
      <c r="G10" s="82" t="s">
        <v>889</v>
      </c>
    </row>
    <row r="11" customFormat="false" ht="39.75" hidden="false" customHeight="true" outlineLevel="0" collapsed="false">
      <c r="A11" s="87" t="s">
        <v>301</v>
      </c>
      <c r="B11" s="73" t="s">
        <v>890</v>
      </c>
      <c r="C11" s="73" t="s">
        <v>891</v>
      </c>
      <c r="D11" s="74" t="s">
        <v>892</v>
      </c>
      <c r="E11" s="88" t="s">
        <v>893</v>
      </c>
      <c r="F11" s="74" t="s">
        <v>894</v>
      </c>
      <c r="G11" s="74" t="s">
        <v>895</v>
      </c>
    </row>
    <row r="12" customFormat="false" ht="39.75" hidden="false" customHeight="true" outlineLevel="0" collapsed="false">
      <c r="A12" s="89" t="s">
        <v>305</v>
      </c>
      <c r="B12" s="113" t="s">
        <v>456</v>
      </c>
      <c r="C12" s="81" t="s">
        <v>896</v>
      </c>
      <c r="D12" s="83" t="s">
        <v>897</v>
      </c>
      <c r="E12" s="84" t="s">
        <v>898</v>
      </c>
      <c r="F12" s="82" t="s">
        <v>899</v>
      </c>
      <c r="G12" s="82" t="s">
        <v>900</v>
      </c>
    </row>
    <row r="13" customFormat="false" ht="39.75" hidden="false" customHeight="true" outlineLevel="0" collapsed="false">
      <c r="A13" s="87" t="s">
        <v>311</v>
      </c>
      <c r="B13" s="73" t="s">
        <v>479</v>
      </c>
      <c r="C13" s="73" t="s">
        <v>901</v>
      </c>
      <c r="D13" s="74" t="s">
        <v>902</v>
      </c>
      <c r="E13" s="88" t="s">
        <v>903</v>
      </c>
      <c r="F13" s="74" t="s">
        <v>904</v>
      </c>
      <c r="G13" s="74" t="s">
        <v>900</v>
      </c>
    </row>
    <row r="14" customFormat="false" ht="39.75" hidden="false" customHeight="true" outlineLevel="0" collapsed="false">
      <c r="A14" s="89" t="s">
        <v>319</v>
      </c>
      <c r="B14" s="113" t="s">
        <v>492</v>
      </c>
      <c r="C14" s="81" t="s">
        <v>905</v>
      </c>
      <c r="D14" s="86" t="s">
        <v>906</v>
      </c>
      <c r="E14" s="84" t="s">
        <v>907</v>
      </c>
      <c r="F14" s="82" t="s">
        <v>908</v>
      </c>
      <c r="G14" s="82" t="s">
        <v>900</v>
      </c>
    </row>
    <row r="15" customFormat="false" ht="39.75" hidden="false" customHeight="true" outlineLevel="0" collapsed="false">
      <c r="A15" s="87" t="s">
        <v>325</v>
      </c>
      <c r="B15" s="73" t="s">
        <v>498</v>
      </c>
      <c r="C15" s="73" t="s">
        <v>909</v>
      </c>
      <c r="D15" s="74" t="s">
        <v>910</v>
      </c>
      <c r="E15" s="88" t="s">
        <v>911</v>
      </c>
      <c r="F15" s="74" t="s">
        <v>912</v>
      </c>
      <c r="G15" s="74" t="s">
        <v>900</v>
      </c>
    </row>
    <row r="16" customFormat="false" ht="39.75" hidden="false" customHeight="true" outlineLevel="0" collapsed="false">
      <c r="A16" s="89" t="s">
        <v>329</v>
      </c>
      <c r="B16" s="113" t="s">
        <v>508</v>
      </c>
      <c r="C16" s="81" t="s">
        <v>913</v>
      </c>
      <c r="D16" s="86" t="s">
        <v>914</v>
      </c>
      <c r="E16" s="84" t="s">
        <v>915</v>
      </c>
      <c r="F16" s="82" t="s">
        <v>916</v>
      </c>
      <c r="G16" s="82" t="s">
        <v>900</v>
      </c>
    </row>
    <row r="17" customFormat="false" ht="39.75" hidden="false" customHeight="true" outlineLevel="0" collapsed="false">
      <c r="A17" s="87" t="s">
        <v>337</v>
      </c>
      <c r="B17" s="73" t="s">
        <v>520</v>
      </c>
      <c r="C17" s="73" t="s">
        <v>917</v>
      </c>
      <c r="D17" s="74" t="s">
        <v>918</v>
      </c>
      <c r="E17" s="88" t="s">
        <v>919</v>
      </c>
      <c r="F17" s="74" t="s">
        <v>920</v>
      </c>
      <c r="G17" s="74" t="s">
        <v>921</v>
      </c>
    </row>
    <row r="18" customFormat="false" ht="39.75" hidden="false" customHeight="true" outlineLevel="0" collapsed="false">
      <c r="A18" s="89" t="s">
        <v>341</v>
      </c>
      <c r="B18" s="113" t="s">
        <v>542</v>
      </c>
      <c r="C18" s="81" t="s">
        <v>922</v>
      </c>
      <c r="D18" s="86" t="s">
        <v>923</v>
      </c>
      <c r="E18" s="84" t="s">
        <v>924</v>
      </c>
      <c r="F18" s="82" t="s">
        <v>925</v>
      </c>
      <c r="G18" s="82" t="s">
        <v>889</v>
      </c>
    </row>
    <row r="19" customFormat="false" ht="39.75" hidden="false" customHeight="true" outlineLevel="0" collapsed="false">
      <c r="A19" s="87" t="s">
        <v>351</v>
      </c>
      <c r="B19" s="73" t="s">
        <v>926</v>
      </c>
      <c r="C19" s="73" t="s">
        <v>927</v>
      </c>
      <c r="D19" s="74" t="s">
        <v>928</v>
      </c>
      <c r="E19" s="88" t="s">
        <v>929</v>
      </c>
      <c r="F19" s="74" t="s">
        <v>930</v>
      </c>
      <c r="G19" s="74" t="s">
        <v>931</v>
      </c>
    </row>
    <row r="20" customFormat="false" ht="39.75" hidden="false" customHeight="true" outlineLevel="0" collapsed="false">
      <c r="A20" s="89" t="s">
        <v>360</v>
      </c>
      <c r="B20" s="113" t="s">
        <v>580</v>
      </c>
      <c r="C20" s="81" t="s">
        <v>932</v>
      </c>
      <c r="D20" s="86" t="s">
        <v>933</v>
      </c>
      <c r="E20" s="84" t="s">
        <v>934</v>
      </c>
      <c r="F20" s="82" t="s">
        <v>935</v>
      </c>
      <c r="G20" s="82" t="s">
        <v>936</v>
      </c>
    </row>
    <row r="21" customFormat="false" ht="39.75" hidden="false" customHeight="true" outlineLevel="0" collapsed="false">
      <c r="A21" s="87" t="s">
        <v>369</v>
      </c>
      <c r="B21" s="73" t="s">
        <v>937</v>
      </c>
      <c r="C21" s="73" t="s">
        <v>937</v>
      </c>
      <c r="D21" s="74" t="s">
        <v>938</v>
      </c>
      <c r="E21" s="114" t="s">
        <v>135</v>
      </c>
      <c r="F21" s="74" t="s">
        <v>939</v>
      </c>
      <c r="G21" s="74" t="s">
        <v>940</v>
      </c>
    </row>
  </sheetData>
  <mergeCells count="3">
    <mergeCell ref="A4:G4"/>
    <mergeCell ref="A5:G5"/>
    <mergeCell ref="A6:G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869E"/>
    <pageSetUpPr fitToPage="true"/>
  </sheetPr>
  <dimension ref="A1:C73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1" width="40"/>
  </cols>
  <sheetData>
    <row r="1" customFormat="false" ht="39.75" hidden="false" customHeight="true" outlineLevel="0" collapsed="false">
      <c r="A1" s="61"/>
      <c r="B1" s="61"/>
      <c r="C1" s="61"/>
    </row>
    <row r="2" customFormat="false" ht="36" hidden="false" customHeight="true" outlineLevel="0" collapsed="false">
      <c r="A2" s="115" t="s">
        <v>941</v>
      </c>
      <c r="B2" s="115"/>
      <c r="C2" s="115"/>
    </row>
    <row r="3" customFormat="false" ht="39.75" hidden="false" customHeight="true" outlineLevel="0" collapsed="false">
      <c r="A3" s="30" t="s">
        <v>942</v>
      </c>
      <c r="B3" s="61"/>
      <c r="C3" s="61"/>
    </row>
    <row r="4" customFormat="false" ht="39.75" hidden="false" customHeight="true" outlineLevel="0" collapsed="false">
      <c r="A4" s="67" t="s">
        <v>943</v>
      </c>
      <c r="B4" s="67"/>
      <c r="C4" s="67"/>
    </row>
    <row r="5" customFormat="false" ht="39.75" hidden="false" customHeight="true" outlineLevel="0" collapsed="false">
      <c r="A5" s="67"/>
      <c r="B5" s="67"/>
      <c r="C5" s="67"/>
    </row>
    <row r="7" customFormat="false" ht="30" hidden="false" customHeight="true" outlineLevel="0" collapsed="false">
      <c r="A7" s="69" t="s">
        <v>944</v>
      </c>
      <c r="B7" s="69" t="s">
        <v>945</v>
      </c>
      <c r="C7" s="69" t="s">
        <v>946</v>
      </c>
    </row>
    <row r="8" customFormat="false" ht="146.25" hidden="false" customHeight="true" outlineLevel="0" collapsed="false">
      <c r="A8" s="61"/>
      <c r="B8" s="61"/>
      <c r="C8" s="61"/>
    </row>
    <row r="9" customFormat="false" ht="45" hidden="false" customHeight="true" outlineLevel="0" collapsed="false">
      <c r="A9" s="116" t="s">
        <v>947</v>
      </c>
      <c r="B9" s="116" t="s">
        <v>948</v>
      </c>
      <c r="C9" s="116" t="s">
        <v>947</v>
      </c>
    </row>
    <row r="11" customFormat="false" ht="30" hidden="false" customHeight="true" outlineLevel="0" collapsed="false">
      <c r="A11" s="69" t="s">
        <v>949</v>
      </c>
      <c r="B11" s="69" t="s">
        <v>950</v>
      </c>
      <c r="C11" s="69" t="s">
        <v>951</v>
      </c>
    </row>
    <row r="12" customFormat="false" ht="146.25" hidden="false" customHeight="true" outlineLevel="0" collapsed="false">
      <c r="A12" s="61"/>
      <c r="B12" s="61"/>
      <c r="C12" s="61"/>
    </row>
    <row r="13" customFormat="false" ht="45" hidden="false" customHeight="true" outlineLevel="0" collapsed="false">
      <c r="A13" s="116" t="s">
        <v>948</v>
      </c>
      <c r="B13" s="116" t="s">
        <v>952</v>
      </c>
      <c r="C13" s="116" t="s">
        <v>953</v>
      </c>
    </row>
    <row r="15" customFormat="false" ht="30" hidden="false" customHeight="true" outlineLevel="0" collapsed="false">
      <c r="A15" s="69" t="s">
        <v>954</v>
      </c>
      <c r="B15" s="69" t="s">
        <v>955</v>
      </c>
      <c r="C15" s="69" t="s">
        <v>956</v>
      </c>
    </row>
    <row r="16" customFormat="false" ht="146.25" hidden="false" customHeight="true" outlineLevel="0" collapsed="false">
      <c r="A16" s="61"/>
      <c r="B16" s="61"/>
      <c r="C16" s="61"/>
    </row>
    <row r="17" customFormat="false" ht="45" hidden="false" customHeight="true" outlineLevel="0" collapsed="false">
      <c r="A17" s="116" t="s">
        <v>953</v>
      </c>
      <c r="B17" s="116" t="s">
        <v>952</v>
      </c>
      <c r="C17" s="116" t="s">
        <v>953</v>
      </c>
    </row>
    <row r="19" customFormat="false" ht="30" hidden="false" customHeight="true" outlineLevel="0" collapsed="false">
      <c r="A19" s="69" t="s">
        <v>957</v>
      </c>
      <c r="B19" s="69" t="s">
        <v>958</v>
      </c>
      <c r="C19" s="69" t="s">
        <v>959</v>
      </c>
    </row>
    <row r="20" customFormat="false" ht="146.25" hidden="false" customHeight="true" outlineLevel="0" collapsed="false">
      <c r="A20" s="61"/>
      <c r="B20" s="61"/>
      <c r="C20" s="61"/>
    </row>
    <row r="21" customFormat="false" ht="45" hidden="false" customHeight="true" outlineLevel="0" collapsed="false">
      <c r="A21" s="116" t="s">
        <v>960</v>
      </c>
      <c r="B21" s="116" t="s">
        <v>961</v>
      </c>
      <c r="C21" s="116" t="s">
        <v>962</v>
      </c>
    </row>
    <row r="23" customFormat="false" ht="30" hidden="false" customHeight="true" outlineLevel="0" collapsed="false">
      <c r="A23" s="69" t="s">
        <v>963</v>
      </c>
      <c r="B23" s="69" t="s">
        <v>964</v>
      </c>
      <c r="C23" s="69" t="s">
        <v>965</v>
      </c>
    </row>
    <row r="24" customFormat="false" ht="146.25" hidden="false" customHeight="true" outlineLevel="0" collapsed="false">
      <c r="A24" s="61"/>
      <c r="B24" s="61"/>
      <c r="C24" s="61"/>
    </row>
    <row r="25" customFormat="false" ht="45" hidden="false" customHeight="true" outlineLevel="0" collapsed="false">
      <c r="A25" s="116" t="s">
        <v>962</v>
      </c>
      <c r="B25" s="116" t="s">
        <v>962</v>
      </c>
      <c r="C25" s="116" t="s">
        <v>962</v>
      </c>
    </row>
    <row r="27" customFormat="false" ht="30" hidden="false" customHeight="true" outlineLevel="0" collapsed="false">
      <c r="A27" s="69" t="s">
        <v>966</v>
      </c>
      <c r="B27" s="69" t="s">
        <v>967</v>
      </c>
      <c r="C27" s="69" t="s">
        <v>968</v>
      </c>
    </row>
    <row r="28" customFormat="false" ht="146.25" hidden="false" customHeight="true" outlineLevel="0" collapsed="false">
      <c r="A28" s="61"/>
      <c r="B28" s="61"/>
      <c r="C28" s="61"/>
    </row>
    <row r="29" customFormat="false" ht="45" hidden="false" customHeight="true" outlineLevel="0" collapsed="false">
      <c r="A29" s="116" t="s">
        <v>969</v>
      </c>
      <c r="B29" s="116" t="s">
        <v>969</v>
      </c>
      <c r="C29" s="116" t="s">
        <v>969</v>
      </c>
    </row>
    <row r="31" customFormat="false" ht="30" hidden="false" customHeight="true" outlineLevel="0" collapsed="false">
      <c r="A31" s="69" t="s">
        <v>970</v>
      </c>
      <c r="B31" s="69" t="s">
        <v>971</v>
      </c>
      <c r="C31" s="69" t="s">
        <v>972</v>
      </c>
    </row>
    <row r="32" customFormat="false" ht="146.25" hidden="false" customHeight="true" outlineLevel="0" collapsed="false">
      <c r="A32" s="61"/>
      <c r="B32" s="61"/>
      <c r="C32" s="61"/>
    </row>
    <row r="33" customFormat="false" ht="45" hidden="false" customHeight="true" outlineLevel="0" collapsed="false">
      <c r="A33" s="116" t="s">
        <v>973</v>
      </c>
      <c r="B33" s="116" t="s">
        <v>974</v>
      </c>
      <c r="C33" s="116" t="s">
        <v>975</v>
      </c>
    </row>
    <row r="35" customFormat="false" ht="30" hidden="false" customHeight="true" outlineLevel="0" collapsed="false">
      <c r="A35" s="69" t="s">
        <v>976</v>
      </c>
      <c r="B35" s="69" t="s">
        <v>977</v>
      </c>
      <c r="C35" s="69" t="s">
        <v>978</v>
      </c>
    </row>
    <row r="36" customFormat="false" ht="146.25" hidden="false" customHeight="true" outlineLevel="0" collapsed="false">
      <c r="A36" s="61"/>
      <c r="B36" s="61"/>
      <c r="C36" s="61"/>
    </row>
    <row r="37" customFormat="false" ht="45" hidden="false" customHeight="true" outlineLevel="0" collapsed="false">
      <c r="A37" s="116" t="s">
        <v>979</v>
      </c>
      <c r="B37" s="116" t="s">
        <v>980</v>
      </c>
      <c r="C37" s="116" t="s">
        <v>981</v>
      </c>
    </row>
    <row r="39" customFormat="false" ht="30" hidden="false" customHeight="true" outlineLevel="0" collapsed="false">
      <c r="A39" s="69" t="s">
        <v>982</v>
      </c>
      <c r="B39" s="69" t="s">
        <v>983</v>
      </c>
      <c r="C39" s="69" t="s">
        <v>984</v>
      </c>
    </row>
    <row r="40" customFormat="false" ht="146.25" hidden="false" customHeight="true" outlineLevel="0" collapsed="false">
      <c r="A40" s="61"/>
      <c r="B40" s="61"/>
      <c r="C40" s="61"/>
    </row>
    <row r="41" customFormat="false" ht="45" hidden="false" customHeight="true" outlineLevel="0" collapsed="false">
      <c r="A41" s="116" t="s">
        <v>985</v>
      </c>
      <c r="B41" s="116" t="s">
        <v>986</v>
      </c>
      <c r="C41" s="116" t="s">
        <v>986</v>
      </c>
    </row>
    <row r="43" customFormat="false" ht="30" hidden="false" customHeight="true" outlineLevel="0" collapsed="false">
      <c r="A43" s="69" t="s">
        <v>987</v>
      </c>
      <c r="B43" s="69" t="s">
        <v>988</v>
      </c>
      <c r="C43" s="69" t="s">
        <v>989</v>
      </c>
    </row>
    <row r="44" customFormat="false" ht="146.25" hidden="false" customHeight="true" outlineLevel="0" collapsed="false">
      <c r="A44" s="61"/>
      <c r="B44" s="61"/>
      <c r="C44" s="61"/>
    </row>
    <row r="45" customFormat="false" ht="45" hidden="false" customHeight="true" outlineLevel="0" collapsed="false">
      <c r="A45" s="116" t="s">
        <v>986</v>
      </c>
      <c r="B45" s="116" t="s">
        <v>990</v>
      </c>
      <c r="C45" s="116" t="s">
        <v>991</v>
      </c>
    </row>
    <row r="47" customFormat="false" ht="30" hidden="false" customHeight="true" outlineLevel="0" collapsed="false">
      <c r="A47" s="69" t="s">
        <v>992</v>
      </c>
      <c r="B47" s="69" t="s">
        <v>993</v>
      </c>
      <c r="C47" s="69" t="s">
        <v>994</v>
      </c>
    </row>
    <row r="48" customFormat="false" ht="146.25" hidden="false" customHeight="true" outlineLevel="0" collapsed="false">
      <c r="A48" s="61"/>
      <c r="B48" s="61"/>
      <c r="C48" s="61"/>
    </row>
    <row r="49" customFormat="false" ht="45" hidden="false" customHeight="true" outlineLevel="0" collapsed="false">
      <c r="A49" s="116" t="s">
        <v>991</v>
      </c>
      <c r="B49" s="116" t="s">
        <v>995</v>
      </c>
      <c r="C49" s="116" t="s">
        <v>996</v>
      </c>
    </row>
    <row r="51" customFormat="false" ht="30" hidden="false" customHeight="true" outlineLevel="0" collapsed="false">
      <c r="A51" s="69" t="s">
        <v>997</v>
      </c>
      <c r="B51" s="69" t="s">
        <v>998</v>
      </c>
      <c r="C51" s="69" t="s">
        <v>999</v>
      </c>
    </row>
    <row r="52" customFormat="false" ht="146.25" hidden="false" customHeight="true" outlineLevel="0" collapsed="false">
      <c r="A52" s="61"/>
      <c r="B52" s="61"/>
      <c r="C52" s="61"/>
    </row>
    <row r="53" customFormat="false" ht="45" hidden="false" customHeight="true" outlineLevel="0" collapsed="false">
      <c r="A53" s="116" t="s">
        <v>996</v>
      </c>
      <c r="B53" s="116" t="s">
        <v>1000</v>
      </c>
      <c r="C53" s="116" t="s">
        <v>1000</v>
      </c>
    </row>
    <row r="55" customFormat="false" ht="30" hidden="false" customHeight="true" outlineLevel="0" collapsed="false">
      <c r="A55" s="69" t="s">
        <v>1001</v>
      </c>
      <c r="B55" s="69" t="s">
        <v>1002</v>
      </c>
      <c r="C55" s="69" t="s">
        <v>1003</v>
      </c>
    </row>
    <row r="56" customFormat="false" ht="146.25" hidden="false" customHeight="true" outlineLevel="0" collapsed="false">
      <c r="A56" s="61"/>
      <c r="B56" s="61"/>
      <c r="C56" s="61"/>
    </row>
    <row r="57" customFormat="false" ht="45" hidden="false" customHeight="true" outlineLevel="0" collapsed="false">
      <c r="A57" s="116" t="s">
        <v>1004</v>
      </c>
      <c r="B57" s="116" t="s">
        <v>1004</v>
      </c>
      <c r="C57" s="116" t="s">
        <v>1004</v>
      </c>
    </row>
    <row r="59" customFormat="false" ht="30" hidden="false" customHeight="true" outlineLevel="0" collapsed="false">
      <c r="A59" s="69" t="s">
        <v>1005</v>
      </c>
      <c r="B59" s="69" t="s">
        <v>1006</v>
      </c>
      <c r="C59" s="69" t="s">
        <v>1007</v>
      </c>
    </row>
    <row r="60" customFormat="false" ht="146.25" hidden="false" customHeight="true" outlineLevel="0" collapsed="false">
      <c r="A60" s="61"/>
      <c r="B60" s="61"/>
      <c r="C60" s="61"/>
    </row>
    <row r="61" customFormat="false" ht="45" hidden="false" customHeight="true" outlineLevel="0" collapsed="false">
      <c r="A61" s="116" t="s">
        <v>1008</v>
      </c>
      <c r="B61" s="116" t="s">
        <v>1009</v>
      </c>
      <c r="C61" s="116" t="s">
        <v>1009</v>
      </c>
    </row>
    <row r="63" customFormat="false" ht="30" hidden="false" customHeight="true" outlineLevel="0" collapsed="false">
      <c r="A63" s="69" t="s">
        <v>1010</v>
      </c>
      <c r="B63" s="69" t="s">
        <v>1011</v>
      </c>
      <c r="C63" s="69" t="s">
        <v>1012</v>
      </c>
    </row>
    <row r="64" customFormat="false" ht="146.25" hidden="false" customHeight="true" outlineLevel="0" collapsed="false">
      <c r="A64" s="61"/>
      <c r="B64" s="61"/>
      <c r="C64" s="61"/>
    </row>
    <row r="65" customFormat="false" ht="45" hidden="false" customHeight="true" outlineLevel="0" collapsed="false">
      <c r="A65" s="116" t="s">
        <v>1009</v>
      </c>
      <c r="B65" s="116" t="s">
        <v>1013</v>
      </c>
      <c r="C65" s="116" t="s">
        <v>1014</v>
      </c>
    </row>
    <row r="67" customFormat="false" ht="30" hidden="false" customHeight="true" outlineLevel="0" collapsed="false">
      <c r="A67" s="69" t="s">
        <v>1015</v>
      </c>
      <c r="B67" s="69" t="s">
        <v>1016</v>
      </c>
      <c r="C67" s="69" t="s">
        <v>1017</v>
      </c>
    </row>
    <row r="68" customFormat="false" ht="146.25" hidden="false" customHeight="true" outlineLevel="0" collapsed="false">
      <c r="A68" s="61"/>
      <c r="B68" s="61"/>
      <c r="C68" s="61"/>
    </row>
    <row r="69" customFormat="false" ht="45" hidden="false" customHeight="true" outlineLevel="0" collapsed="false">
      <c r="A69" s="116" t="s">
        <v>1018</v>
      </c>
      <c r="B69" s="116" t="s">
        <v>1019</v>
      </c>
      <c r="C69" s="116" t="s">
        <v>1019</v>
      </c>
    </row>
    <row r="71" customFormat="false" ht="30" hidden="false" customHeight="true" outlineLevel="0" collapsed="false">
      <c r="A71" s="69" t="s">
        <v>1020</v>
      </c>
      <c r="B71" s="69" t="s">
        <v>1021</v>
      </c>
      <c r="C71" s="69"/>
    </row>
    <row r="72" customFormat="false" ht="146.25" hidden="false" customHeight="true" outlineLevel="0" collapsed="false">
      <c r="A72" s="61"/>
      <c r="B72" s="61"/>
      <c r="C72" s="61"/>
    </row>
    <row r="73" customFormat="false" ht="45" hidden="false" customHeight="true" outlineLevel="0" collapsed="false">
      <c r="A73" s="116" t="s">
        <v>1019</v>
      </c>
      <c r="B73" s="116" t="s">
        <v>1022</v>
      </c>
      <c r="C73" s="116"/>
    </row>
  </sheetData>
  <mergeCells count="2">
    <mergeCell ref="A2:C2"/>
    <mergeCell ref="A4:C5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2026-10-09T04:54:59Z</dcterms:created>
  <dc:creator>openpyxl</dc:creator>
  <dc:description/>
  <dc:language>en-US</dc:language>
  <cp:lastModifiedBy/>
  <dcterms:modified xsi:type="dcterms:W3CDTF">2026-10-12T08:16:06Z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