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media/image5.jpeg" ContentType="image/jpeg"/>
  <Override PartName="/xl/media/image10.jpeg" ContentType="image/jpeg"/>
  <Override PartName="/xl/media/image6.jpeg" ContentType="image/jpeg"/>
  <Override PartName="/xl/media/image11.jpeg" ContentType="image/jpeg"/>
  <Override PartName="/xl/media/image7.jpeg" ContentType="image/jpeg"/>
  <Override PartName="/xl/media/image12.jpeg" ContentType="image/jpeg"/>
  <Override PartName="/xl/media/image8.jpeg" ContentType="image/jpeg"/>
  <Override PartName="/xl/media/image13.jpeg" ContentType="image/jpeg"/>
  <Override PartName="/xl/media/image9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紙" sheetId="1" state="visible" r:id="rId3"/>
    <sheet name="スケジュール" sheetId="2" state="visible" r:id="rId4"/>
    <sheet name="制作工程表" sheetId="3" state="visible" r:id="rId5"/>
    <sheet name="撮影指示書" sheetId="4" state="visible" r:id="rId6"/>
    <sheet name="撮影香盤表" sheetId="5" state="visible" r:id="rId7"/>
    <sheet name="事前準備・出演者" sheetId="6" state="visible" r:id="rId8"/>
    <sheet name="サイト構成" sheetId="7" state="visible" r:id="rId9"/>
    <sheet name="写真カット見本" sheetId="8" state="visible" r:id="rId10"/>
  </sheets>
  <definedNames>
    <definedName function="false" hidden="false" localSheetId="6" name="_xlnm.Print_Titles" vbProcedure="false">サイト構成!$8:$8</definedName>
    <definedName function="false" hidden="false" localSheetId="1" name="_xlnm.Print_Titles" vbProcedure="false">スケジュール!$6:$9</definedName>
    <definedName function="false" hidden="false" localSheetId="5" name="_xlnm.Print_Titles" vbProcedure="false">事前準備・出演者!$8:$8</definedName>
    <definedName function="false" hidden="false" localSheetId="2" name="_xlnm.Print_Titles" vbProcedure="false">制作工程表!$8:$8</definedName>
    <definedName function="false" hidden="false" localSheetId="3" name="_xlnm.Print_Titles" vbProcedure="false">撮影指示書!$8:$8</definedName>
    <definedName function="false" hidden="false" localSheetId="4" name="_xlnm.Print_Titles" vbProcedure="false">撮影香盤表!$8:$8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<sst xmlns="http://schemas.openxmlformats.org/spreadsheetml/2006/main" count="1331" uniqueCount="794">
  <si>
    <t xml:space="preserve">MAKISE MANUFACTURING  CORPORATE SITE</t>
  </si>
  <si>
    <t xml:space="preserve">槇瀬製作所 コーポレートサイト制作計画</t>
  </si>
  <si>
    <t xml:space="preserve">株式会社 槇瀬製作所（架空）｜鋼材加工・板金・製缶／本社工場・領家第2工場の2拠点／全7ページ・写真30点</t>
  </si>
  <si>
    <t xml:space="preserve">期間の考え方：一般的な企業サイトは打ち合わせから公開まで約3か月、20ページ前後で2〜3か月が目安。本計画は企業側の確認を各7営業日、撮影前後に予備日、年末年始休業を見込み、約4か月で設定。</t>
  </si>
  <si>
    <t xml:space="preserve">主な日程</t>
  </si>
  <si>
    <t xml:space="preserve">進み具合</t>
  </si>
  <si>
    <t xml:space="preserve">内容</t>
  </si>
  <si>
    <t xml:space="preserve">日付</t>
  </si>
  <si>
    <t xml:space="preserve">動く人</t>
  </si>
  <si>
    <t xml:space="preserve">メモ</t>
  </si>
  <si>
    <t xml:space="preserve">状態</t>
  </si>
  <si>
    <t xml:space="preserve">件数</t>
  </si>
  <si>
    <t xml:space="preserve">制作スタート（キックオフ）</t>
  </si>
  <si>
    <t xml:space="preserve">制作チーム</t>
  </si>
  <si>
    <t xml:space="preserve">目的・掲載範囲・窓口を確認</t>
  </si>
  <si>
    <t xml:space="preserve">全作業</t>
  </si>
  <si>
    <t xml:space="preserve">構成・ワイヤーのご承認</t>
  </si>
  <si>
    <t xml:space="preserve">槇瀬製作所様</t>
  </si>
  <si>
    <t xml:space="preserve">7ページの構成と情報の順番</t>
  </si>
  <si>
    <t xml:space="preserve">完了</t>
  </si>
  <si>
    <t xml:space="preserve">撮影1日目　第2工場</t>
  </si>
  <si>
    <t xml:space="preserve">全員</t>
  </si>
  <si>
    <t xml:space="preserve">切断・曲げ・設備・工場全景</t>
  </si>
  <si>
    <t xml:space="preserve">進行中</t>
  </si>
  <si>
    <t xml:space="preserve">撮影2日目　本社工場</t>
  </si>
  <si>
    <t xml:space="preserve">溶接・組立・外観・代表・社員</t>
  </si>
  <si>
    <t xml:space="preserve">確認待ち</t>
  </si>
  <si>
    <t xml:space="preserve">原稿・写真のご確認</t>
  </si>
  <si>
    <t xml:space="preserve">設備仕様の事実確認・掲載可否</t>
  </si>
  <si>
    <t xml:space="preserve">要調整</t>
  </si>
  <si>
    <t xml:space="preserve">デザインのご確認</t>
  </si>
  <si>
    <t xml:space="preserve">PC／スマホのデザイン案</t>
  </si>
  <si>
    <t xml:space="preserve">未着手</t>
  </si>
  <si>
    <t xml:space="preserve">公開前の最終確認・公開承認</t>
  </si>
  <si>
    <t xml:space="preserve">表記・許諾・フォーム受信先</t>
  </si>
  <si>
    <t xml:space="preserve">完了率</t>
  </si>
  <si>
    <t xml:space="preserve">公開</t>
  </si>
  <si>
    <t xml:space="preserve">公開直後の表示と受信を確認</t>
  </si>
  <si>
    <t xml:space="preserve">状態は「制作工程表」の進捗欄から自動集計</t>
  </si>
  <si>
    <t xml:space="preserve">このファイルの見方</t>
  </si>
  <si>
    <t xml:space="preserve">スケジュール</t>
  </si>
  <si>
    <t xml:space="preserve">誰が・いつまでに・何をするか。企業側の確認期限（◆）もここで確認できます。</t>
  </si>
  <si>
    <t xml:space="preserve">制作工程表</t>
  </si>
  <si>
    <r>
      <rPr>
        <sz val="10.5"/>
        <color rgb="FF4D5770"/>
        <rFont val="Yu Gothic"/>
        <family val="0"/>
        <charset val="1"/>
      </rPr>
      <t xml:space="preserve">23</t>
    </r>
    <r>
      <rPr>
        <sz val="10.5"/>
        <color rgb="FF4D5770"/>
        <rFont val="Noto Sans CJK SC"/>
        <family val="2"/>
      </rPr>
      <t xml:space="preserve">の作業の担当・期限・進捗。黄色の行が企業のご確認（</t>
    </r>
    <r>
      <rPr>
        <sz val="10.5"/>
        <color rgb="FF4D5770"/>
        <rFont val="Yu Gothic"/>
        <family val="0"/>
        <charset val="1"/>
      </rPr>
      <t xml:space="preserve">7</t>
    </r>
    <r>
      <rPr>
        <sz val="10.5"/>
        <color rgb="FF4D5770"/>
        <rFont val="Noto Sans CJK SC"/>
        <family val="2"/>
      </rPr>
      <t xml:space="preserve">営業日）です。開始日（黄色）を変えると全体の日付が動きます。</t>
    </r>
  </si>
  <si>
    <t xml:space="preserve">撮影指示書</t>
  </si>
  <si>
    <t xml:space="preserve">写真30点の撮影内容・構図・掲載先・映り込みの確認。</t>
  </si>
  <si>
    <t xml:space="preserve">撮影香盤表</t>
  </si>
  <si>
    <t xml:space="preserve">撮影2日間のタイムテーブル（何時に・どこで・誰が）。</t>
  </si>
  <si>
    <t xml:space="preserve">事前準備・出演者</t>
  </si>
  <si>
    <t xml:space="preserve">企業側にご準備いただく内容と締切、出演者の参加時間、取材の質問案。</t>
  </si>
  <si>
    <t xml:space="preserve">サイト構成</t>
  </si>
  <si>
    <r>
      <rPr>
        <sz val="10.5"/>
        <color rgb="FF4D5770"/>
        <rFont val="Yu Gothic"/>
        <family val="0"/>
        <charset val="1"/>
      </rPr>
      <t xml:space="preserve">7</t>
    </r>
    <r>
      <rPr>
        <sz val="10.5"/>
        <color rgb="FF4D5770"/>
        <rFont val="Noto Sans CJK SC"/>
        <family val="2"/>
      </rPr>
      <t xml:space="preserve">ページの見出し・掲載内容・使う写真。</t>
    </r>
  </si>
  <si>
    <t xml:space="preserve">写真カット見本</t>
  </si>
  <si>
    <t xml:space="preserve">撮影指示書の写真IDに対応する見本画像（AI生成・11点）。</t>
  </si>
  <si>
    <t xml:space="preserve">色の決まり</t>
  </si>
  <si>
    <t xml:space="preserve">撮影</t>
  </si>
  <si>
    <t xml:space="preserve">変更できる日付</t>
  </si>
  <si>
    <t xml:space="preserve">会社・設備・人物・数字・日程はデモ用の架空設定です。写真はAI生成です。</t>
  </si>
  <si>
    <t xml:space="preserve">槇瀬製作所 サイト制作スケジュール</t>
  </si>
  <si>
    <t xml:space="preserve">槇瀬製作所 コーポレートサイト制作計画（デモ）｜誰が・いつまでに・何をするか／企業側の確認期限</t>
  </si>
  <si>
    <t xml:space="preserve">企業側（槇瀬製作所様）</t>
  </si>
  <si>
    <t xml:space="preserve">撮影日</t>
  </si>
  <si>
    <t xml:space="preserve">◆ 企業の確認期限</t>
  </si>
  <si>
    <t xml:space="preserve">今日</t>
  </si>
  <si>
    <t xml:space="preserve">帯の色：紺＝制作チーム、黄＝企業側、赤＝撮影日。◆は企業側の確認期限。日付は「制作工程表」の開始日から自動で計算されます。</t>
  </si>
  <si>
    <t xml:space="preserve">ID</t>
  </si>
  <si>
    <t xml:space="preserve">工程</t>
  </si>
  <si>
    <t xml:space="preserve">作業</t>
  </si>
  <si>
    <t xml:space="preserve">実行する人</t>
  </si>
  <si>
    <t xml:space="preserve">確認する人</t>
  </si>
  <si>
    <t xml:space="preserve">区分</t>
  </si>
  <si>
    <t xml:space="preserve">開始</t>
  </si>
  <si>
    <t xml:space="preserve">確認期限</t>
  </si>
  <si>
    <r>
      <rPr>
        <b val="true"/>
        <sz val="10.5"/>
        <color rgb="FF1B2740"/>
        <rFont val="Yu Gothic"/>
        <family val="0"/>
        <charset val="1"/>
      </rPr>
      <t xml:space="preserve">1</t>
    </r>
    <r>
      <rPr>
        <b val="true"/>
        <sz val="10.5"/>
        <color rgb="FF1B2740"/>
        <rFont val="Noto Sans CJK SC"/>
        <family val="2"/>
      </rPr>
      <t xml:space="preserve">　企画・設計</t>
    </r>
  </si>
  <si>
    <t xml:space="preserve">G</t>
  </si>
  <si>
    <r>
      <rPr>
        <b val="true"/>
        <sz val="10.5"/>
        <color rgb="FF1B2740"/>
        <rFont val="Yu Gothic"/>
        <family val="0"/>
        <charset val="1"/>
      </rPr>
      <t xml:space="preserve">2</t>
    </r>
    <r>
      <rPr>
        <b val="true"/>
        <sz val="10.5"/>
        <color rgb="FF1B2740"/>
        <rFont val="Noto Sans CJK SC"/>
        <family val="2"/>
      </rPr>
      <t xml:space="preserve">　取材の準備</t>
    </r>
  </si>
  <si>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　取材・撮影</t>
    </r>
  </si>
  <si>
    <r>
      <rPr>
        <b val="true"/>
        <sz val="10.5"/>
        <color rgb="FF1B2740"/>
        <rFont val="Yu Gothic"/>
        <family val="0"/>
        <charset val="1"/>
      </rPr>
      <t xml:space="preserve">4</t>
    </r>
    <r>
      <rPr>
        <b val="true"/>
        <sz val="10.5"/>
        <color rgb="FF1B2740"/>
        <rFont val="Noto Sans CJK SC"/>
        <family val="2"/>
      </rPr>
      <t xml:space="preserve">　原稿</t>
    </r>
  </si>
  <si>
    <r>
      <rPr>
        <b val="true"/>
        <sz val="10.5"/>
        <color rgb="FF1B2740"/>
        <rFont val="Yu Gothic"/>
        <family val="0"/>
        <charset val="1"/>
      </rPr>
      <t xml:space="preserve">5</t>
    </r>
    <r>
      <rPr>
        <b val="true"/>
        <sz val="10.5"/>
        <color rgb="FF1B2740"/>
        <rFont val="Noto Sans CJK SC"/>
        <family val="2"/>
      </rPr>
      <t xml:space="preserve">　デザイン</t>
    </r>
  </si>
  <si>
    <r>
      <rPr>
        <b val="true"/>
        <sz val="10.5"/>
        <color rgb="FF1B2740"/>
        <rFont val="Yu Gothic"/>
        <family val="0"/>
        <charset val="1"/>
      </rPr>
      <t xml:space="preserve">6</t>
    </r>
    <r>
      <rPr>
        <b val="true"/>
        <sz val="10.5"/>
        <color rgb="FF1B2740"/>
        <rFont val="Noto Sans CJK SC"/>
        <family val="2"/>
      </rPr>
      <t xml:space="preserve">　実装・公開</t>
    </r>
  </si>
  <si>
    <t xml:space="preserve">表の見方</t>
  </si>
  <si>
    <t xml:space="preserve">・帯は作業する期間です。紺は制作チーム、黄色は企業側（槇瀬製作所様）が動く作業、赤は撮影日です。</t>
  </si>
  <si>
    <t xml:space="preserve">・◆は、その作業について企業側に確認・承認をお願いしたい期限です。確認する人は「確認する人」列をご覧ください。</t>
  </si>
  <si>
    <t xml:space="preserve">・日付・担当・状態は「制作工程表」シートと連動しています。変更は制作工程表で行ってください。</t>
  </si>
  <si>
    <t xml:space="preserve">・祝日・休業日は「制作工程表」の右端の列に入れると、日付から自動で外れます。</t>
  </si>
  <si>
    <t xml:space="preserve">槇瀬製作所 サイト制作工程表</t>
  </si>
  <si>
    <t xml:space="preserve">槇瀬製作所 コーポレートサイト制作計画（デモ）｜全体の工程と担当</t>
  </si>
  <si>
    <t xml:space="preserve">制作開始日</t>
  </si>
  <si>
    <t xml:space="preserve">撮影1日目</t>
  </si>
  <si>
    <t xml:space="preserve">撮影2日目</t>
  </si>
  <si>
    <t xml:space="preserve">約4か月の仮日程。企業側のご確認は各7営業日（黄色の行）、年明けに予備撮影日。開始日を変えると全体の日付が動きます。祝日・休業日は右端の列に入れると自動で避けます（工場カレンダーに合わせて追加してください）。</t>
  </si>
  <si>
    <t xml:space="preserve">黄色：変更する日付　色付き帯：作業期間　進捗は実際の状況に更新。デモの写真はAI生成、香盤は実案件の撮影を想定。</t>
  </si>
  <si>
    <t xml:space="preserve">制作・実行担当</t>
  </si>
  <si>
    <t xml:space="preserve">企業側の確認担当</t>
  </si>
  <si>
    <t xml:space="preserve">成果物・確認内容</t>
  </si>
  <si>
    <t xml:space="preserve">開始日</t>
  </si>
  <si>
    <t xml:space="preserve">完了期限</t>
  </si>
  <si>
    <t xml:space="preserve">先行作業</t>
  </si>
  <si>
    <t xml:space="preserve">進捗</t>
  </si>
  <si>
    <t xml:space="preserve">期間（営業日）</t>
  </si>
  <si>
    <r>
      <rPr>
        <b val="true"/>
        <sz val="10"/>
        <color rgb="FFFFFFFF"/>
        <rFont val="Yu Gothic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</si>
  <si>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</si>
  <si>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</si>
  <si>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</si>
  <si>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</si>
  <si>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</si>
  <si>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</si>
  <si>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</si>
  <si>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9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</si>
  <si>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10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</si>
  <si>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</si>
  <si>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</si>
  <si>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</si>
  <si>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</si>
  <si>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</si>
  <si>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</si>
  <si>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</si>
  <si>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</si>
  <si>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19</t>
    </r>
    <r>
      <rPr>
        <b val="true"/>
        <sz val="10"/>
        <color rgb="FFFFFFFF"/>
        <rFont val="Noto Sans CJK SC"/>
        <family val="2"/>
      </rPr>
      <t xml:space="preserve">週目</t>
    </r>
  </si>
  <si>
    <t xml:space="preserve">祝日・休業日</t>
  </si>
  <si>
    <t xml:space="preserve">T01</t>
  </si>
  <si>
    <t xml:space="preserve">企画</t>
  </si>
  <si>
    <t xml:space="preserve">キックオフ・ヒアリング</t>
  </si>
  <si>
    <t xml:space="preserve">編集ディレクター</t>
  </si>
  <si>
    <t xml:space="preserve">総務窓口</t>
  </si>
  <si>
    <t xml:space="preserve">発注の目的・掲載範囲・窓口・公開希望時期</t>
  </si>
  <si>
    <t xml:space="preserve">—</t>
  </si>
  <si>
    <t xml:space="preserve">なし</t>
  </si>
  <si>
    <t xml:space="preserve">文化の日</t>
  </si>
  <si>
    <t xml:space="preserve">T02</t>
  </si>
  <si>
    <t xml:space="preserve">現状調査・構成案の作成</t>
  </si>
  <si>
    <r>
      <rPr>
        <sz val="10.5"/>
        <color rgb="FF1B2740"/>
        <rFont val="Yu Gothic"/>
        <family val="0"/>
        <charset val="1"/>
      </rPr>
      <t xml:space="preserve">7</t>
    </r>
    <r>
      <rPr>
        <sz val="10.5"/>
        <color rgb="FF1B2740"/>
        <rFont val="Noto Sans CJK SC"/>
        <family val="2"/>
      </rPr>
      <t xml:space="preserve">ページ構成案／掲載項目一覧</t>
    </r>
  </si>
  <si>
    <t xml:space="preserve">勤労感謝の日</t>
  </si>
  <si>
    <t xml:space="preserve">T03</t>
  </si>
  <si>
    <t xml:space="preserve">企画確認</t>
  </si>
  <si>
    <t xml:space="preserve">構成案のご確認</t>
  </si>
  <si>
    <t xml:space="preserve">代表・工場長</t>
  </si>
  <si>
    <t xml:space="preserve">構成・掲載する設備・製作例へのご意見</t>
  </si>
  <si>
    <t xml:space="preserve">年末年始休業</t>
  </si>
  <si>
    <t xml:space="preserve">T04</t>
  </si>
  <si>
    <t xml:space="preserve">設計</t>
  </si>
  <si>
    <t xml:space="preserve">ワイヤーフレームの作成</t>
  </si>
  <si>
    <t xml:space="preserve">編集ディレクター・デザイナー</t>
  </si>
  <si>
    <r>
      <rPr>
        <sz val="10.5"/>
        <color rgb="FF1B2740"/>
        <rFont val="Noto Sans CJK SC"/>
        <family val="2"/>
      </rPr>
      <t xml:space="preserve">全</t>
    </r>
    <r>
      <rPr>
        <sz val="10.5"/>
        <color rgb="FF1B2740"/>
        <rFont val="Yu Gothic"/>
        <family val="0"/>
        <charset val="1"/>
      </rPr>
      <t xml:space="preserve">7</t>
    </r>
    <r>
      <rPr>
        <sz val="10.5"/>
        <color rgb="FF1B2740"/>
        <rFont val="Noto Sans CJK SC"/>
        <family val="2"/>
      </rPr>
      <t xml:space="preserve">ページのワイヤーフレーム</t>
    </r>
  </si>
  <si>
    <t xml:space="preserve">T05</t>
  </si>
  <si>
    <t xml:space="preserve">設計確認</t>
  </si>
  <si>
    <t xml:space="preserve">ワイヤーフレームのご確認</t>
  </si>
  <si>
    <t xml:space="preserve">代表・営業・生産管理</t>
  </si>
  <si>
    <t xml:space="preserve">情報の順番／見積もり相談までの導線</t>
  </si>
  <si>
    <t xml:space="preserve">T06</t>
  </si>
  <si>
    <t xml:space="preserve">取材準備</t>
  </si>
  <si>
    <t xml:space="preserve">撮影指示書・質問案の作成</t>
  </si>
  <si>
    <t xml:space="preserve">ライター・カメラマン</t>
  </si>
  <si>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カットの指示／質問案</t>
    </r>
  </si>
  <si>
    <t xml:space="preserve">元日</t>
  </si>
  <si>
    <t xml:space="preserve">T07</t>
  </si>
  <si>
    <t xml:space="preserve">撮影場所・出演者・掲載可否の調整</t>
  </si>
  <si>
    <t xml:space="preserve">工場長・営業・生産管理</t>
  </si>
  <si>
    <t xml:space="preserve">撮影できる設備・製品・図面／取引先の許諾</t>
  </si>
  <si>
    <t xml:space="preserve">年始休業（工場の想定）</t>
  </si>
  <si>
    <t xml:space="preserve">T08</t>
  </si>
  <si>
    <t xml:space="preserve">香盤・安全ルールのご確認</t>
  </si>
  <si>
    <t xml:space="preserve">工場長・出演者</t>
  </si>
  <si>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日間の香盤／保護具・立入範囲／稼働との調整</t>
    </r>
  </si>
  <si>
    <r>
      <rPr>
        <sz val="10.5"/>
        <color rgb="FF1B2740"/>
        <rFont val="Yu Gothic"/>
        <family val="0"/>
        <charset val="1"/>
      </rPr>
      <t xml:space="preserve">T06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T07</t>
    </r>
  </si>
  <si>
    <t xml:space="preserve">成人の日</t>
  </si>
  <si>
    <t xml:space="preserve">T09</t>
  </si>
  <si>
    <t xml:space="preserve">取材撮影</t>
  </si>
  <si>
    <t xml:space="preserve">第2工場の取材・撮影（切断・曲げ）</t>
  </si>
  <si>
    <t xml:space="preserve">工場長</t>
  </si>
  <si>
    <t xml:space="preserve">写真／設備・工程の取材メモ</t>
  </si>
  <si>
    <t xml:space="preserve">建国記念の日</t>
  </si>
  <si>
    <t xml:space="preserve">T10</t>
  </si>
  <si>
    <t xml:space="preserve">本社工場の取材・撮影（溶接・組立・人物）</t>
  </si>
  <si>
    <t xml:space="preserve">写真／代表・社員の取材音声</t>
  </si>
  <si>
    <t xml:space="preserve">天皇誕生日</t>
  </si>
  <si>
    <t xml:space="preserve">T11</t>
  </si>
  <si>
    <t xml:space="preserve">予備撮影日（雨天の外観・不足カット）</t>
  </si>
  <si>
    <t xml:space="preserve">カメラマン</t>
  </si>
  <si>
    <t xml:space="preserve">必要な場合のみ実施（年明け）</t>
  </si>
  <si>
    <t xml:space="preserve">春分の日（振替休日）</t>
  </si>
  <si>
    <t xml:space="preserve">T12</t>
  </si>
  <si>
    <t xml:space="preserve">素材整理</t>
  </si>
  <si>
    <t xml:space="preserve">写真選定・レタッチ・映り込み確認</t>
  </si>
  <si>
    <t xml:space="preserve">写真候補／図面・製品の映り込みチェック</t>
  </si>
  <si>
    <t xml:space="preserve">昭和の日</t>
  </si>
  <si>
    <t xml:space="preserve">T13</t>
  </si>
  <si>
    <t xml:space="preserve">執筆</t>
  </si>
  <si>
    <t xml:space="preserve">全7ページの原稿作成</t>
  </si>
  <si>
    <t xml:space="preserve">ライター</t>
  </si>
  <si>
    <t xml:space="preserve">ページ原稿／設備・加工範囲の表記</t>
  </si>
  <si>
    <t xml:space="preserve">憲法記念日</t>
  </si>
  <si>
    <t xml:space="preserve">T14</t>
  </si>
  <si>
    <t xml:space="preserve">原稿確認</t>
  </si>
  <si>
    <t xml:space="preserve">原稿・写真・仕様表記のご確認</t>
  </si>
  <si>
    <t xml:space="preserve">数値・設備仕様の事実確認／写真の掲載可否</t>
  </si>
  <si>
    <r>
      <rPr>
        <sz val="10.5"/>
        <color rgb="FF1B2740"/>
        <rFont val="Yu Gothic"/>
        <family val="0"/>
        <charset val="1"/>
      </rPr>
      <t xml:space="preserve">T12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T13</t>
    </r>
  </si>
  <si>
    <t xml:space="preserve">みどりの日</t>
  </si>
  <si>
    <t xml:space="preserve">T15</t>
  </si>
  <si>
    <t xml:space="preserve">原稿確定</t>
  </si>
  <si>
    <t xml:space="preserve">原稿の修正・確定</t>
  </si>
  <si>
    <t xml:space="preserve">ライター・編集ディレクター</t>
  </si>
  <si>
    <t xml:space="preserve">確定原稿／確定写真</t>
  </si>
  <si>
    <t xml:space="preserve">こどもの日</t>
  </si>
  <si>
    <t xml:space="preserve">T16</t>
  </si>
  <si>
    <t xml:space="preserve">デザイン</t>
  </si>
  <si>
    <t xml:space="preserve">トップ・代表下層のデザイン</t>
  </si>
  <si>
    <t xml:space="preserve">デザイナー</t>
  </si>
  <si>
    <r>
      <rPr>
        <sz val="10.5"/>
        <color rgb="FF1B2740"/>
        <rFont val="Yu Gothic"/>
        <family val="0"/>
        <charset val="1"/>
      </rPr>
      <t xml:space="preserve">PC</t>
    </r>
    <r>
      <rPr>
        <sz val="10.5"/>
        <color rgb="FF1B2740"/>
        <rFont val="Noto Sans CJK SC"/>
        <family val="2"/>
      </rPr>
      <t xml:space="preserve">／スマホのデザイン案</t>
    </r>
  </si>
  <si>
    <r>
      <rPr>
        <sz val="10.5"/>
        <color rgb="FF1B2740"/>
        <rFont val="Yu Gothic"/>
        <family val="0"/>
        <charset val="1"/>
      </rPr>
      <t xml:space="preserve">T05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T10</t>
    </r>
  </si>
  <si>
    <t xml:space="preserve">T17</t>
  </si>
  <si>
    <t xml:space="preserve">デザイン確認</t>
  </si>
  <si>
    <t xml:space="preserve">代表</t>
  </si>
  <si>
    <t xml:space="preserve">修正意見を窓口でまとめてご連絡</t>
  </si>
  <si>
    <t xml:space="preserve">T18</t>
  </si>
  <si>
    <t xml:space="preserve">全7ページの展開・確定</t>
  </si>
  <si>
    <t xml:space="preserve">全ページの確定デザイン</t>
  </si>
  <si>
    <r>
      <rPr>
        <sz val="10.5"/>
        <color rgb="FF1B2740"/>
        <rFont val="Yu Gothic"/>
        <family val="0"/>
        <charset val="1"/>
      </rPr>
      <t xml:space="preserve">T15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T17</t>
    </r>
  </si>
  <si>
    <t xml:space="preserve">T19</t>
  </si>
  <si>
    <t xml:space="preserve">実装</t>
  </si>
  <si>
    <t xml:space="preserve">ページ実装・スマホ対応・見積もりフォーム</t>
  </si>
  <si>
    <t xml:space="preserve">実装担当</t>
  </si>
  <si>
    <t xml:space="preserve">閲覧用サイト／図面添付フォーム</t>
  </si>
  <si>
    <t xml:space="preserve">T20</t>
  </si>
  <si>
    <t xml:space="preserve">確認</t>
  </si>
  <si>
    <t xml:space="preserve">表示・リンク・フォームの確認（制作内）</t>
  </si>
  <si>
    <t xml:space="preserve">実装担当・編集ディレクター</t>
  </si>
  <si>
    <t xml:space="preserve">修正一覧／テスト記録</t>
  </si>
  <si>
    <t xml:space="preserve">T21</t>
  </si>
  <si>
    <t xml:space="preserve">公開前確認</t>
  </si>
  <si>
    <t xml:space="preserve">表記・掲載許諾・フォーム受信先／公開承認</t>
  </si>
  <si>
    <t xml:space="preserve">T22</t>
  </si>
  <si>
    <t xml:space="preserve">修正</t>
  </si>
  <si>
    <t xml:space="preserve">最終修正・公開準備</t>
  </si>
  <si>
    <t xml:space="preserve">最終版／更新方法の資料</t>
  </si>
  <si>
    <t xml:space="preserve">T23</t>
  </si>
  <si>
    <t xml:space="preserve">公開・公開直後の確認</t>
  </si>
  <si>
    <t xml:space="preserve">公開確認／問い合わせ受信テスト</t>
  </si>
  <si>
    <t xml:space="preserve">写真30点 撮影指示書</t>
  </si>
  <si>
    <t xml:space="preserve">槇瀬製作所 コーポレートサイト制作計画（デモ）｜写真30点の撮り方</t>
  </si>
  <si>
    <t xml:space="preserve">写真は30点。01・02は同じ場面を横・縦で撮影。人物・作業着・設備の設定は事前準備シートで統一。</t>
  </si>
  <si>
    <t xml:space="preserve">デモはAI生成写真を使用。写真カット見本シートにデモサイトで使った11点を掲載。実案件の撮影では稼働状況と許諾に合わせて調整。</t>
  </si>
  <si>
    <t xml:space="preserve">写真IDと香盤IDで掲載先・撮影枠を追跡。図面・製品・取引先名の映り込みは、企業側の確認後に掲載確認を更新。</t>
  </si>
  <si>
    <t xml:space="preserve">写真ID</t>
  </si>
  <si>
    <t xml:space="preserve">撮影内容</t>
  </si>
  <si>
    <t xml:space="preserve">掲載ページ</t>
  </si>
  <si>
    <t xml:space="preserve">伝えたいこと</t>
  </si>
  <si>
    <t xml:space="preserve">縦横・比率</t>
  </si>
  <si>
    <t xml:space="preserve">構図・余白</t>
  </si>
  <si>
    <t xml:space="preserve">出演者（架空）</t>
  </si>
  <si>
    <t xml:space="preserve">場所</t>
  </si>
  <si>
    <t xml:space="preserve">香盤ID</t>
  </si>
  <si>
    <t xml:space="preserve">準備物</t>
  </si>
  <si>
    <t xml:space="preserve">撮影時の確認</t>
  </si>
  <si>
    <t xml:space="preserve">担当</t>
  </si>
  <si>
    <t xml:space="preserve">掲載確認</t>
  </si>
  <si>
    <t xml:space="preserve">01</t>
  </si>
  <si>
    <t xml:space="preserve">稼働中の本社工場 全景（横）</t>
  </si>
  <si>
    <t xml:space="preserve">トップ</t>
  </si>
  <si>
    <t xml:space="preserve">大きな製作品を社内で組み上げる工場</t>
  </si>
  <si>
    <t xml:space="preserve">横 16:9</t>
  </si>
  <si>
    <t xml:space="preserve">左40%に文字用余白。奥へ抜ける通路</t>
  </si>
  <si>
    <t xml:space="preserve">松井ほか作業中の人</t>
  </si>
  <si>
    <t xml:space="preserve">本社工場／組立エリア</t>
  </si>
  <si>
    <t xml:space="preserve">D2-05</t>
  </si>
  <si>
    <t xml:space="preserve">通路を片付ける</t>
  </si>
  <si>
    <t xml:space="preserve">作業中の人の顔は小さく。安全帯・保護具を確認</t>
  </si>
  <si>
    <t xml:space="preserve">未確認</t>
  </si>
  <si>
    <t xml:space="preserve">02</t>
  </si>
  <si>
    <t xml:space="preserve">稼働中の本社工場 全景（縦）</t>
  </si>
  <si>
    <t xml:space="preserve">トップ（スマホ）</t>
  </si>
  <si>
    <t xml:space="preserve">スマホでも工場の奥行きが伝わる</t>
  </si>
  <si>
    <t xml:space="preserve">縦 4:5</t>
  </si>
  <si>
    <t xml:space="preserve">中央に架台、上20%に余白</t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</si>
  <si>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と同じ配置</t>
    </r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</si>
  <si>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を切り抜かず縦で撮影</t>
    </r>
  </si>
  <si>
    <t xml:space="preserve">03</t>
  </si>
  <si>
    <t xml:space="preserve">レーザー切断</t>
  </si>
  <si>
    <t xml:space="preserve">トップ／加工・製作</t>
  </si>
  <si>
    <t xml:space="preserve">鋼板を図面どおりに切り出す</t>
  </si>
  <si>
    <t xml:space="preserve">横 3:2</t>
  </si>
  <si>
    <t xml:space="preserve">ヘッドと火花を斜め上から</t>
  </si>
  <si>
    <t xml:space="preserve">小野</t>
  </si>
  <si>
    <t xml:space="preserve">第2工場／レーザー加工機</t>
  </si>
  <si>
    <t xml:space="preserve">D1-02</t>
  </si>
  <si>
    <t xml:space="preserve">架空の切断形状</t>
  </si>
  <si>
    <t xml:space="preserve">安全柵の外から。加工条件は変えない</t>
  </si>
  <si>
    <t xml:space="preserve">04</t>
  </si>
  <si>
    <t xml:space="preserve">プレスブレーキ曲げ</t>
  </si>
  <si>
    <t xml:space="preserve">カバーや筐体を図面の形に曲げる</t>
  </si>
  <si>
    <t xml:space="preserve">金型と曲がる板を低い位置から</t>
  </si>
  <si>
    <t xml:space="preserve">青木</t>
  </si>
  <si>
    <t xml:space="preserve">第2工場／プレスブレーキ</t>
  </si>
  <si>
    <t xml:space="preserve">D1-04</t>
  </si>
  <si>
    <t xml:space="preserve">曲げ用の部材</t>
  </si>
  <si>
    <t xml:space="preserve">手元を写す場合は操作手順を守る</t>
  </si>
  <si>
    <t xml:space="preserve">05</t>
  </si>
  <si>
    <t xml:space="preserve">半自動溶接</t>
  </si>
  <si>
    <t xml:space="preserve">フレームを組み、接合部を溶接する</t>
  </si>
  <si>
    <t xml:space="preserve">溶接面と手元。背景に架台</t>
  </si>
  <si>
    <t xml:space="preserve">松井</t>
  </si>
  <si>
    <t xml:space="preserve">本社工場／溶接エリア</t>
  </si>
  <si>
    <t xml:space="preserve">D2-02</t>
  </si>
  <si>
    <t xml:space="preserve">遮光面・手袋</t>
  </si>
  <si>
    <t xml:space="preserve">遮光幕の外から。溶接光を直視しない</t>
  </si>
  <si>
    <t xml:space="preserve">06</t>
  </si>
  <si>
    <t xml:space="preserve">組立後の寸法測定</t>
  </si>
  <si>
    <t xml:space="preserve">組み上げた後も寸法を確かめる</t>
  </si>
  <si>
    <t xml:space="preserve">測定工具と手元、取付穴</t>
  </si>
  <si>
    <t xml:space="preserve">村上</t>
  </si>
  <si>
    <t xml:space="preserve">D2-04</t>
  </si>
  <si>
    <t xml:space="preserve">測定工具</t>
  </si>
  <si>
    <t xml:space="preserve">測定値が読める場合は架空と確認</t>
  </si>
  <si>
    <t xml:space="preserve">07</t>
  </si>
  <si>
    <t xml:space="preserve">機械架台・カバー・ホッパーの並び</t>
  </si>
  <si>
    <t xml:space="preserve">トップ（製作品）</t>
  </si>
  <si>
    <t xml:space="preserve">3種類の製作品がひと目でわかる</t>
  </si>
  <si>
    <t xml:space="preserve">3点を床に並べ、斜め上から全景</t>
  </si>
  <si>
    <t xml:space="preserve">撮影できる製作品3点</t>
  </si>
  <si>
    <t xml:space="preserve">取引先の銘板・ロゴを外すか隠す</t>
  </si>
  <si>
    <t xml:space="preserve">08</t>
  </si>
  <si>
    <t xml:space="preserve">本社工場の外観・看板</t>
  </si>
  <si>
    <t xml:space="preserve">トップ／会社案内</t>
  </si>
  <si>
    <t xml:space="preserve">所在地と工場の規模がわかる</t>
  </si>
  <si>
    <t xml:space="preserve">看板と入口を正面からやや斜め</t>
  </si>
  <si>
    <t xml:space="preserve">本社工場／屋外</t>
  </si>
  <si>
    <t xml:space="preserve">D2-01</t>
  </si>
  <si>
    <t xml:space="preserve">入口周辺の整理</t>
  </si>
  <si>
    <t xml:space="preserve">通行人・車両ナンバーを写さない</t>
  </si>
  <si>
    <t xml:space="preserve">09</t>
  </si>
  <si>
    <t xml:space="preserve">先輩と若手の寸法確認</t>
  </si>
  <si>
    <t xml:space="preserve">トップ／採用情報</t>
  </si>
  <si>
    <t xml:space="preserve">一緒に確かめながら覚える</t>
  </si>
  <si>
    <t xml:space="preserve">二人の表情と測定工具を中景</t>
  </si>
  <si>
    <t xml:space="preserve">中川・村上</t>
  </si>
  <si>
    <t xml:space="preserve">D2-08</t>
  </si>
  <si>
    <t xml:space="preserve">ノギス・部材</t>
  </si>
  <si>
    <t xml:space="preserve">指導の上下関係を強調しすぎない</t>
  </si>
  <si>
    <t xml:space="preserve">10</t>
  </si>
  <si>
    <t xml:space="preserve">切断部材と図面の作業台</t>
  </si>
  <si>
    <t xml:space="preserve">加工・製作（見出し）</t>
  </si>
  <si>
    <t xml:space="preserve">切断から組立までの流れの入口</t>
  </si>
  <si>
    <t xml:space="preserve">作業台全体、右に余白</t>
  </si>
  <si>
    <t xml:space="preserve">第2工場／作業台</t>
  </si>
  <si>
    <t xml:space="preserve">D1-05</t>
  </si>
  <si>
    <t xml:space="preserve">架空の図面・部材</t>
  </si>
  <si>
    <t xml:space="preserve">図面は撮影用の架空図面</t>
  </si>
  <si>
    <t xml:space="preserve">11</t>
  </si>
  <si>
    <t xml:space="preserve">バンドソーでの形鋼切断</t>
  </si>
  <si>
    <t xml:space="preserve">加工・製作</t>
  </si>
  <si>
    <t xml:space="preserve">形鋼・角形鋼管を長さに合わせる</t>
  </si>
  <si>
    <t xml:space="preserve">刃と材料、手元を斜めから</t>
  </si>
  <si>
    <t xml:space="preserve">第2工場／バンドソー</t>
  </si>
  <si>
    <t xml:space="preserve">D1-03</t>
  </si>
  <si>
    <t xml:space="preserve">角形鋼管</t>
  </si>
  <si>
    <t xml:space="preserve">回転中は手元に寄りすぎない</t>
  </si>
  <si>
    <t xml:space="preserve">12</t>
  </si>
  <si>
    <t xml:space="preserve">TIG溶接（SUS製缶品）</t>
  </si>
  <si>
    <t xml:space="preserve">ステンレスの製缶品を溶接する</t>
  </si>
  <si>
    <t xml:space="preserve">トーチと溶接部を近めに</t>
  </si>
  <si>
    <t xml:space="preserve">D2-03</t>
  </si>
  <si>
    <r>
      <rPr>
        <sz val="10.5"/>
        <color rgb="FF1B2740"/>
        <rFont val="Yu Gothic"/>
        <family val="0"/>
        <charset val="1"/>
      </rPr>
      <t xml:space="preserve">SUS</t>
    </r>
    <r>
      <rPr>
        <sz val="10.5"/>
        <color rgb="FF1B2740"/>
        <rFont val="Noto Sans CJK SC"/>
        <family val="2"/>
      </rPr>
      <t xml:space="preserve">材の端材</t>
    </r>
  </si>
  <si>
    <r>
      <rPr>
        <sz val="10.5"/>
        <color rgb="FF1B2740"/>
        <rFont val="Yu Gothic"/>
        <family val="0"/>
        <charset val="1"/>
      </rPr>
      <t xml:space="preserve">05</t>
    </r>
    <r>
      <rPr>
        <sz val="10.5"/>
        <color rgb="FF1B2740"/>
        <rFont val="Noto Sans CJK SC"/>
        <family val="2"/>
      </rPr>
      <t xml:space="preserve">と構図・距離を変える</t>
    </r>
  </si>
  <si>
    <t xml:space="preserve">13</t>
  </si>
  <si>
    <t xml:space="preserve">検査・梱包・出荷</t>
  </si>
  <si>
    <t xml:space="preserve">加工・製作／設備・工場</t>
  </si>
  <si>
    <t xml:space="preserve">寸法確認から出荷まで社内で行う</t>
  </si>
  <si>
    <t xml:space="preserve">梱包した製品と積込の様子</t>
  </si>
  <si>
    <t xml:space="preserve">本社工場／出荷場</t>
  </si>
  <si>
    <t xml:space="preserve">D2-09</t>
  </si>
  <si>
    <t xml:space="preserve">梱包材</t>
  </si>
  <si>
    <t xml:space="preserve">送り状・取引先名を写さない</t>
  </si>
  <si>
    <t xml:space="preserve">14</t>
  </si>
  <si>
    <t xml:space="preserve">設備カバーとホッパー</t>
  </si>
  <si>
    <t xml:space="preserve">製作例（見出し）</t>
  </si>
  <si>
    <t xml:space="preserve">板金と製缶の製作例</t>
  </si>
  <si>
    <t xml:space="preserve">2点を並べ、扉と投入口がわかる角度</t>
  </si>
  <si>
    <t xml:space="preserve">掲載許諾を得た製作品</t>
  </si>
  <si>
    <t xml:space="preserve">15</t>
  </si>
  <si>
    <t xml:space="preserve">機械架台（製作例01）</t>
  </si>
  <si>
    <t xml:space="preserve">製作例</t>
  </si>
  <si>
    <t xml:space="preserve">取付位置と据付高さのある架台</t>
  </si>
  <si>
    <t xml:space="preserve">架台単体を斜め上から</t>
  </si>
  <si>
    <t xml:space="preserve">掲載許諾を得た架台</t>
  </si>
  <si>
    <t xml:space="preserve">07と背景を変える</t>
  </si>
  <si>
    <t xml:space="preserve">16</t>
  </si>
  <si>
    <t xml:space="preserve">板金カバーの細部（点検扉・開口）</t>
  </si>
  <si>
    <t xml:space="preserve">扉の開閉や開口の仕上がり</t>
  </si>
  <si>
    <t xml:space="preserve">扉と開口部を近めに</t>
  </si>
  <si>
    <t xml:space="preserve">カバー部材</t>
  </si>
  <si>
    <t xml:space="preserve">製品の形状が取引先の機密にあたらないか確認</t>
  </si>
  <si>
    <t xml:space="preserve">17</t>
  </si>
  <si>
    <t xml:space="preserve">プレスブレーキの金型</t>
  </si>
  <si>
    <t xml:space="preserve">設備・工場（見出し）</t>
  </si>
  <si>
    <t xml:space="preserve">主な加工設備の存在感</t>
  </si>
  <si>
    <t xml:space="preserve">金型の並びを斜めから</t>
  </si>
  <si>
    <t xml:space="preserve">D1-07</t>
  </si>
  <si>
    <t xml:space="preserve">銘板は仕様確認用に別途撮影</t>
  </si>
  <si>
    <t xml:space="preserve">18</t>
  </si>
  <si>
    <t xml:space="preserve">ファイバーレーザー全景</t>
  </si>
  <si>
    <t xml:space="preserve">設備・工場</t>
  </si>
  <si>
    <t xml:space="preserve">設備の大きさと加工範囲</t>
  </si>
  <si>
    <t xml:space="preserve">加工機全体、人を小さく入れる</t>
  </si>
  <si>
    <t xml:space="preserve">周辺の整理</t>
  </si>
  <si>
    <t xml:space="preserve">設備仕様は銘板・カタログと照合</t>
  </si>
  <si>
    <t xml:space="preserve">19</t>
  </si>
  <si>
    <t xml:space="preserve">第2工場の全景</t>
  </si>
  <si>
    <t xml:space="preserve">切断・板金の工場配置</t>
  </si>
  <si>
    <t xml:space="preserve">高い位置から場内全体</t>
  </si>
  <si>
    <t xml:space="preserve">第2工場／場内</t>
  </si>
  <si>
    <t xml:space="preserve">脚立（工場の許可を得る）</t>
  </si>
  <si>
    <t xml:space="preserve">作業中の人の顔は小さく</t>
  </si>
  <si>
    <t xml:space="preserve">20</t>
  </si>
  <si>
    <t xml:space="preserve">天井クレーンのある組立エリア</t>
  </si>
  <si>
    <t xml:space="preserve">大型製作品の組立に対応</t>
  </si>
  <si>
    <t xml:space="preserve">クレーンと架台を見上げる</t>
  </si>
  <si>
    <t xml:space="preserve">クレーン稼働中は真下に入らない</t>
  </si>
  <si>
    <t xml:space="preserve">21</t>
  </si>
  <si>
    <t xml:space="preserve">測定工具と検査記録</t>
  </si>
  <si>
    <t xml:space="preserve">設備・工場（検査条件）</t>
  </si>
  <si>
    <t xml:space="preserve">検査条件をご注文前に決める</t>
  </si>
  <si>
    <t xml:space="preserve">工具と記録用紙を近めに</t>
  </si>
  <si>
    <t xml:space="preserve">本社工場／検査台</t>
  </si>
  <si>
    <t xml:space="preserve">架空の検査記録</t>
  </si>
  <si>
    <t xml:space="preserve">記録の内容は架空と確認</t>
  </si>
  <si>
    <t xml:space="preserve">22</t>
  </si>
  <si>
    <t xml:space="preserve">生産管理室から工場を見る</t>
  </si>
  <si>
    <t xml:space="preserve">会社案内（見出し）</t>
  </si>
  <si>
    <t xml:space="preserve">図面を預かり、工程を組む場所</t>
  </si>
  <si>
    <t xml:space="preserve">机越しに窓の外の工場</t>
  </si>
  <si>
    <t xml:space="preserve">本社工場／生産管理室</t>
  </si>
  <si>
    <t xml:space="preserve">D2-07</t>
  </si>
  <si>
    <t xml:space="preserve">架空の図面・ヘルメット</t>
  </si>
  <si>
    <t xml:space="preserve">パソコン画面は消すか架空に</t>
  </si>
  <si>
    <t xml:space="preserve">23</t>
  </si>
  <si>
    <t xml:space="preserve">代表ポートレート</t>
  </si>
  <si>
    <t xml:space="preserve">会社案内</t>
  </si>
  <si>
    <t xml:space="preserve">代表の人柄</t>
  </si>
  <si>
    <t xml:space="preserve">胸上。工場を背景にぼかす</t>
  </si>
  <si>
    <t xml:space="preserve">代表・槇瀬</t>
  </si>
  <si>
    <t xml:space="preserve">本社工場／事務所</t>
  </si>
  <si>
    <t xml:space="preserve">D2-06</t>
  </si>
  <si>
    <t xml:space="preserve">服装を事前共有</t>
  </si>
  <si>
    <t xml:space="preserve">極端な美肌加工はしない</t>
  </si>
  <si>
    <t xml:space="preserve">24</t>
  </si>
  <si>
    <t xml:space="preserve">領家第2工場の外観</t>
  </si>
  <si>
    <t xml:space="preserve">会社案内（工場所在地）</t>
  </si>
  <si>
    <t xml:space="preserve">道路をはさんだ2つの工場</t>
  </si>
  <si>
    <t xml:space="preserve">入口を含め建物を広めに</t>
  </si>
  <si>
    <t xml:space="preserve">第2工場／屋外</t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</si>
  <si>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と異なる建物として撮る</t>
    </r>
  </si>
  <si>
    <t xml:space="preserve">25</t>
  </si>
  <si>
    <t xml:space="preserve">中川 ポートレート</t>
  </si>
  <si>
    <t xml:space="preserve">採用情報</t>
  </si>
  <si>
    <t xml:space="preserve">入社2年目の親しみやすさ</t>
  </si>
  <si>
    <t xml:space="preserve">胸上・自然光・作業着</t>
  </si>
  <si>
    <t xml:space="preserve">中川</t>
  </si>
  <si>
    <t xml:space="preserve">本社工場／会議室・窓辺</t>
  </si>
  <si>
    <t xml:space="preserve">作業着・名札</t>
  </si>
  <si>
    <t xml:space="preserve">26・27と同じ作業着</t>
  </si>
  <si>
    <t xml:space="preserve">26</t>
  </si>
  <si>
    <t xml:space="preserve">青木 仕事風景（切断・板金）</t>
  </si>
  <si>
    <t xml:space="preserve">採用情報（仕事内容）</t>
  </si>
  <si>
    <t xml:space="preserve">切断・板金の担当業務</t>
  </si>
  <si>
    <t xml:space="preserve">曲げた部材を測る中景</t>
  </si>
  <si>
    <t xml:space="preserve">D1-06</t>
  </si>
  <si>
    <t xml:space="preserve">部材・測定工具</t>
  </si>
  <si>
    <r>
      <rPr>
        <sz val="10.5"/>
        <color rgb="FF1B2740"/>
        <rFont val="Yu Gothic"/>
        <family val="0"/>
        <charset val="1"/>
      </rPr>
      <t xml:space="preserve">04</t>
    </r>
    <r>
      <rPr>
        <sz val="10.5"/>
        <color rgb="FF1B2740"/>
        <rFont val="Noto Sans CJK SC"/>
        <family val="2"/>
      </rPr>
      <t xml:space="preserve">と構図を変える</t>
    </r>
  </si>
  <si>
    <t xml:space="preserve">27</t>
  </si>
  <si>
    <t xml:space="preserve">松井 仕事風景（溶接・組立）</t>
  </si>
  <si>
    <t xml:space="preserve">溶接・組立の担当業務</t>
  </si>
  <si>
    <t xml:space="preserve">溶接前の位置決めを中景</t>
  </si>
  <si>
    <t xml:space="preserve">部材・治具</t>
  </si>
  <si>
    <t xml:space="preserve">05と構図を変える</t>
  </si>
  <si>
    <t xml:space="preserve">28</t>
  </si>
  <si>
    <t xml:space="preserve">朝礼・作業前点検</t>
  </si>
  <si>
    <t xml:space="preserve">採用情報（入社後の教育）</t>
  </si>
  <si>
    <t xml:space="preserve">安全を確かめてから始める</t>
  </si>
  <si>
    <t xml:space="preserve">全員の立ち位置がわかる広角</t>
  </si>
  <si>
    <t xml:space="preserve">工場長・第2工場の全員</t>
  </si>
  <si>
    <t xml:space="preserve">第2工場／朝礼場所</t>
  </si>
  <si>
    <t xml:space="preserve">D1-01</t>
  </si>
  <si>
    <t xml:space="preserve">顔を出したくない人の位置を事前に確認</t>
  </si>
  <si>
    <t xml:space="preserve">29</t>
  </si>
  <si>
    <t xml:space="preserve">工場間の部材搬送</t>
  </si>
  <si>
    <t xml:space="preserve">採用情報／設備・工場</t>
  </si>
  <si>
    <t xml:space="preserve">2つの工場をつなぐ仕事</t>
  </si>
  <si>
    <t xml:space="preserve">台車と部材、背景に向かいの工場</t>
  </si>
  <si>
    <t xml:space="preserve">小野・青木</t>
  </si>
  <si>
    <t xml:space="preserve">第2工場／出入口</t>
  </si>
  <si>
    <t xml:space="preserve">D1-08</t>
  </si>
  <si>
    <t xml:space="preserve">台車・部材</t>
  </si>
  <si>
    <t xml:space="preserve">公道上での停車や演出はしない</t>
  </si>
  <si>
    <t xml:space="preserve">30</t>
  </si>
  <si>
    <t xml:space="preserve">図面と部材を確認する手元</t>
  </si>
  <si>
    <t xml:space="preserve">お問い合わせ</t>
  </si>
  <si>
    <t xml:space="preserve">図面と条件をお知らせください</t>
  </si>
  <si>
    <t xml:space="preserve">手元と図面、部材を真上寄りで</t>
  </si>
  <si>
    <t xml:space="preserve">高橋</t>
  </si>
  <si>
    <r>
      <rPr>
        <b val="true"/>
        <sz val="18"/>
        <color rgb="FF1B2740"/>
        <rFont val="Yu Gothic"/>
        <family val="0"/>
        <charset val="1"/>
      </rPr>
      <t xml:space="preserve">2</t>
    </r>
    <r>
      <rPr>
        <b val="true"/>
        <sz val="18"/>
        <color rgb="FF1B2740"/>
        <rFont val="Noto Sans CJK SC"/>
        <family val="2"/>
      </rPr>
      <t xml:space="preserve">工場 撮影香盤表</t>
    </r>
  </si>
  <si>
    <t xml:space="preserve">槇瀬製作所 コーポレートサイト制作計画（デモ）｜撮影2日間のタイムテーブル</t>
  </si>
  <si>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日目：領家第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工場 </t>
    </r>
    <r>
      <rPr>
        <sz val="10"/>
        <color rgb="FF4D5770"/>
        <rFont val="Yu Gothic"/>
        <family val="0"/>
        <charset val="1"/>
      </rPr>
      <t xml:space="preserve">8:00–17:00</t>
    </r>
    <r>
      <rPr>
        <sz val="10"/>
        <color rgb="FF4D5770"/>
        <rFont val="Noto Sans CJK SC"/>
        <family val="2"/>
      </rPr>
      <t xml:space="preserve">　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日目：本社工場 </t>
    </r>
    <r>
      <rPr>
        <sz val="10"/>
        <color rgb="FF4D5770"/>
        <rFont val="Yu Gothic"/>
        <family val="0"/>
        <charset val="1"/>
      </rPr>
      <t xml:space="preserve">8:00–17:00</t>
    </r>
    <r>
      <rPr>
        <sz val="10"/>
        <color rgb="FF4D5770"/>
        <rFont val="Noto Sans CJK SC"/>
        <family val="2"/>
      </rPr>
      <t xml:space="preserve">。工場の休憩時間（</t>
    </r>
    <r>
      <rPr>
        <sz val="10"/>
        <color rgb="FF4D5770"/>
        <rFont val="Yu Gothic"/>
        <family val="0"/>
        <charset val="1"/>
      </rPr>
      <t xml:space="preserve">10:30</t>
    </r>
    <r>
      <rPr>
        <sz val="10"/>
        <color rgb="FF4D5770"/>
        <rFont val="Noto Sans CJK SC"/>
        <family val="2"/>
      </rPr>
      <t xml:space="preserve">・</t>
    </r>
    <r>
      <rPr>
        <sz val="10"/>
        <color rgb="FF4D5770"/>
        <rFont val="Yu Gothic"/>
        <family val="0"/>
        <charset val="1"/>
      </rPr>
      <t xml:space="preserve">12:00</t>
    </r>
    <r>
      <rPr>
        <sz val="10"/>
        <color rgb="FF4D5770"/>
        <rFont val="Noto Sans CJK SC"/>
        <family val="2"/>
      </rPr>
      <t xml:space="preserve">・</t>
    </r>
    <r>
      <rPr>
        <sz val="10"/>
        <color rgb="FF4D5770"/>
        <rFont val="Yu Gothic"/>
        <family val="0"/>
        <charset val="1"/>
      </rPr>
      <t xml:space="preserve">15:00</t>
    </r>
    <r>
      <rPr>
        <sz val="10"/>
        <color rgb="FF4D5770"/>
        <rFont val="Noto Sans CJK SC"/>
        <family val="2"/>
      </rPr>
      <t xml:space="preserve">）に合わせて区切っています。</t>
    </r>
  </si>
  <si>
    <t xml:space="preserve">稼働を止めずに撮れる順に配置。加工の撮影は通常の作業内容で行い、撮影のために加工条件や安全手順を変えません。制作班はライター1名・カメラマン1名・編集ディレクター1名。</t>
  </si>
  <si>
    <t xml:space="preserve">図面・製品・取引先名が写るカットは、撮影前に掲載可否を確認。雨天時の外観と不足カットは予備撮影日（制作工程表 T11）で対応します。</t>
  </si>
  <si>
    <t xml:space="preserve">終了</t>
  </si>
  <si>
    <t xml:space="preserve">所要（分）</t>
  </si>
  <si>
    <t xml:space="preserve">出演者</t>
  </si>
  <si>
    <t xml:space="preserve">撮影場所</t>
  </si>
  <si>
    <t xml:space="preserve">補足・移動・休憩</t>
  </si>
  <si>
    <t xml:space="preserve">D1-00</t>
  </si>
  <si>
    <t xml:space="preserve">集合・安全説明・保護具の着用</t>
  </si>
  <si>
    <t xml:space="preserve">総務窓口・工場長・制作班</t>
  </si>
  <si>
    <t xml:space="preserve">第2工場／事務所</t>
  </si>
  <si>
    <t xml:space="preserve">立入範囲・撮影禁止の設備と図面を確認</t>
  </si>
  <si>
    <t xml:space="preserve">総務窓口／全員</t>
  </si>
  <si>
    <t xml:space="preserve">通常の朝礼をそのまま撮影</t>
  </si>
  <si>
    <t xml:space="preserve">ファイバーレーザーでの切断</t>
  </si>
  <si>
    <t xml:space="preserve">安全柵の外から撮影。火花は通常加工のまま</t>
  </si>
  <si>
    <t xml:space="preserve">カメラマン／工場長</t>
  </si>
  <si>
    <t xml:space="preserve">バンドソーでの形鋼切断・材料置場</t>
  </si>
  <si>
    <t xml:space="preserve">第2工場／バンドソー・材料置場</t>
  </si>
  <si>
    <t xml:space="preserve">材料の識別札に取引先名がないか確認</t>
  </si>
  <si>
    <t xml:space="preserve">D1-L1</t>
  </si>
  <si>
    <t xml:space="preserve">休憩（工場の休憩時間）</t>
  </si>
  <si>
    <t xml:space="preserve">制作班</t>
  </si>
  <si>
    <t xml:space="preserve">第2工場／控室</t>
  </si>
  <si>
    <t xml:space="preserve">データを2系統に保存</t>
  </si>
  <si>
    <t xml:space="preserve">プレスブレーキでの曲げ</t>
  </si>
  <si>
    <t xml:space="preserve">金型交換の時間を避ける</t>
  </si>
  <si>
    <t xml:space="preserve">切断・曲げ部材の物撮り</t>
  </si>
  <si>
    <r>
      <rPr>
        <sz val="10.5"/>
        <color rgb="FF1B2740"/>
        <rFont val="Yu Gothic"/>
        <family val="0"/>
        <charset val="1"/>
      </rPr>
      <t xml:space="preserve">10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16</t>
    </r>
  </si>
  <si>
    <t xml:space="preserve">架空または許諾済みの部材のみ</t>
  </si>
  <si>
    <t xml:space="preserve">D1-L</t>
  </si>
  <si>
    <t xml:space="preserve">昼休憩・データ保存</t>
  </si>
  <si>
    <t xml:space="preserve">工場の昼休みに合わせる</t>
  </si>
  <si>
    <t xml:space="preserve">青木 取材・仕事風景</t>
  </si>
  <si>
    <t xml:space="preserve">第2工場／事務所・プレスブレーキ</t>
  </si>
  <si>
    <t xml:space="preserve">取材30分、撮影15分</t>
  </si>
  <si>
    <t xml:space="preserve">ライター／カメラマン</t>
  </si>
  <si>
    <t xml:space="preserve">第2工場の全景・設備・外観</t>
  </si>
  <si>
    <t xml:space="preserve">なし（作業中の人は小さく）</t>
  </si>
  <si>
    <t xml:space="preserve">第2工場／場内・屋外</t>
  </si>
  <si>
    <r>
      <rPr>
        <sz val="10.5"/>
        <color rgb="FF1B2740"/>
        <rFont val="Yu Gothic"/>
        <family val="0"/>
        <charset val="1"/>
      </rPr>
      <t xml:space="preserve">17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24</t>
    </r>
  </si>
  <si>
    <t xml:space="preserve">設備の銘板は仕様確認用に別途撮影</t>
  </si>
  <si>
    <t xml:space="preserve">D1-L2</t>
  </si>
  <si>
    <t xml:space="preserve">不足カットを確認</t>
  </si>
  <si>
    <t xml:space="preserve">D1-09</t>
  </si>
  <si>
    <t xml:space="preserve">予備・不足カット</t>
  </si>
  <si>
    <t xml:space="preserve">必要な出演者のみ</t>
  </si>
  <si>
    <t xml:space="preserve">第2工場／各所</t>
  </si>
  <si>
    <t xml:space="preserve">不足カット</t>
  </si>
  <si>
    <t xml:space="preserve">必要な出演者は当日正午までに相談</t>
  </si>
  <si>
    <t xml:space="preserve">D1-END</t>
  </si>
  <si>
    <t xml:space="preserve">映り込み確認・保存・撤収</t>
  </si>
  <si>
    <t xml:space="preserve">総務窓口・制作班</t>
  </si>
  <si>
    <t xml:space="preserve">図面・取引先名の映り込みを一緒に確認</t>
  </si>
  <si>
    <t xml:space="preserve">D2-00</t>
  </si>
  <si>
    <t xml:space="preserve">第2工場からの機材移動は前日に完了</t>
  </si>
  <si>
    <t xml:space="preserve">晴天時。雨天は予備撮影日へ</t>
  </si>
  <si>
    <t xml:space="preserve">半自動溶接（フレーム）</t>
  </si>
  <si>
    <r>
      <rPr>
        <sz val="10.5"/>
        <color rgb="FF1B2740"/>
        <rFont val="Yu Gothic"/>
        <family val="0"/>
        <charset val="1"/>
      </rPr>
      <t xml:space="preserve">05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27</t>
    </r>
  </si>
  <si>
    <t xml:space="preserve">遮光幕の外から撮影。溶接光を直視しない</t>
  </si>
  <si>
    <t xml:space="preserve">SUS材の識別に取引先名がないか確認</t>
  </si>
  <si>
    <t xml:space="preserve">D2-L1</t>
  </si>
  <si>
    <t xml:space="preserve">本社工場／控室</t>
  </si>
  <si>
    <t xml:space="preserve">組立・寸法測定・検査工具</t>
  </si>
  <si>
    <t xml:space="preserve">村上・工場長</t>
  </si>
  <si>
    <r>
      <rPr>
        <sz val="10.5"/>
        <color rgb="FF1B2740"/>
        <rFont val="Yu Gothic"/>
        <family val="0"/>
        <charset val="1"/>
      </rPr>
      <t xml:space="preserve">06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21</t>
    </r>
  </si>
  <si>
    <t xml:space="preserve">製作品の全景・天井クレーン</t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</si>
  <si>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20</t>
    </r>
  </si>
  <si>
    <t xml:space="preserve">D2-L</t>
  </si>
  <si>
    <t xml:space="preserve">午後の出演者到着を確認</t>
  </si>
  <si>
    <t xml:space="preserve">代表取材・ポートレート</t>
  </si>
  <si>
    <t xml:space="preserve">本社工場／応接室・事務所</t>
  </si>
  <si>
    <t xml:space="preserve">取材25分、撮影15分</t>
  </si>
  <si>
    <t xml:space="preserve">生産管理室・図面確認の手元</t>
  </si>
  <si>
    <r>
      <rPr>
        <sz val="10.5"/>
        <color rgb="FF1B2740"/>
        <rFont val="Yu Gothic"/>
        <family val="0"/>
        <charset val="1"/>
      </rPr>
      <t xml:space="preserve">22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30</t>
    </r>
  </si>
  <si>
    <t xml:space="preserve">撮影用の架空図面を使用</t>
  </si>
  <si>
    <t xml:space="preserve">中川 取材・村上と寸法確認</t>
  </si>
  <si>
    <t xml:space="preserve">本社工場／会議室・組立エリア</t>
  </si>
  <si>
    <r>
      <rPr>
        <sz val="10.5"/>
        <color rgb="FF1B2740"/>
        <rFont val="Yu Gothic"/>
        <family val="0"/>
        <charset val="1"/>
      </rPr>
      <t xml:space="preserve">09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25</t>
    </r>
  </si>
  <si>
    <t xml:space="preserve">D2-L2</t>
  </si>
  <si>
    <t xml:space="preserve">出演者解散</t>
  </si>
  <si>
    <t xml:space="preserve">D2-10</t>
  </si>
  <si>
    <t xml:space="preserve">本社工場／各所</t>
  </si>
  <si>
    <t xml:space="preserve">外観が曇天なら予備撮影日に回す</t>
  </si>
  <si>
    <t xml:space="preserve">D2-END</t>
  </si>
  <si>
    <t xml:space="preserve">撮影済みの写真IDをチェック</t>
  </si>
  <si>
    <t xml:space="preserve">事前準備・出演者・取材テーマ</t>
  </si>
  <si>
    <t xml:space="preserve">槇瀬製作所 コーポレートサイト制作計画（デモ）｜企業側の準備・出演者・取材テーマ</t>
  </si>
  <si>
    <t xml:space="preserve">会社・人物・設備・日付はデモ設定。実案件では担当者名、勤務、許諾を確認して更新。</t>
  </si>
  <si>
    <t xml:space="preserve">製造業の撮影では、取引先の製品・図面の掲載可否（秘密保持契約）と、工場の安全ルールを撮影前に確認します。</t>
  </si>
  <si>
    <t xml:space="preserve">開始日と撮影日は制作工程表と連動。出演者の参加時間は撮影準備段階で再確認。</t>
  </si>
  <si>
    <t xml:space="preserve">確認・準備する内容</t>
  </si>
  <si>
    <t xml:space="preserve">実行担当</t>
  </si>
  <si>
    <t xml:space="preserve">確認相手</t>
  </si>
  <si>
    <t xml:space="preserve">締切</t>
  </si>
  <si>
    <t xml:space="preserve">対応内容</t>
  </si>
  <si>
    <t xml:space="preserve">P01</t>
  </si>
  <si>
    <t xml:space="preserve">会社資料</t>
  </si>
  <si>
    <t xml:space="preserve">会社概要・沿革・従業員数・取引先数</t>
  </si>
  <si>
    <t xml:space="preserve">会社案内・パンフレットなど根拠資料を提供</t>
  </si>
  <si>
    <t xml:space="preserve">P02</t>
  </si>
  <si>
    <t xml:space="preserve">設備資料</t>
  </si>
  <si>
    <t xml:space="preserve">設備の仕様・台数・設置工場</t>
  </si>
  <si>
    <t xml:space="preserve">銘板・カタログ・導入時資料で確認</t>
  </si>
  <si>
    <t xml:space="preserve">P03</t>
  </si>
  <si>
    <t xml:space="preserve">掲載できる製作品・材質・寸法・数量</t>
  </si>
  <si>
    <t xml:space="preserve">営業・生産管理</t>
  </si>
  <si>
    <t xml:space="preserve">架空化・一般化の範囲もあわせて相談</t>
  </si>
  <si>
    <t xml:space="preserve">P04</t>
  </si>
  <si>
    <t xml:space="preserve">掲載許諾</t>
  </si>
  <si>
    <t xml:space="preserve">取引先の製品・図面の掲載可否</t>
  </si>
  <si>
    <t xml:space="preserve">秘密保持契約の範囲を確認。不可なら撮影対象から外す</t>
  </si>
  <si>
    <t xml:space="preserve">P05</t>
  </si>
  <si>
    <t xml:space="preserve">出演者・所属・ふりがな・参加可能時間</t>
  </si>
  <si>
    <t xml:space="preserve">下部の出演者設定を確認</t>
  </si>
  <si>
    <t xml:space="preserve">P06</t>
  </si>
  <si>
    <t xml:space="preserve">撮影許諾</t>
  </si>
  <si>
    <t xml:space="preserve">写真・発言の使用範囲と許諾</t>
  </si>
  <si>
    <t xml:space="preserve">出演者・代表</t>
  </si>
  <si>
    <t xml:space="preserve">サイト・採用活動・営業資料での使用範囲を説明</t>
  </si>
  <si>
    <t xml:space="preserve">P07</t>
  </si>
  <si>
    <t xml:space="preserve">安全</t>
  </si>
  <si>
    <t xml:space="preserve">保護具・立入範囲・撮影禁止エリア</t>
  </si>
  <si>
    <t xml:space="preserve">制作班の保護具（ヘルメット・安全靴）の要否も確認</t>
  </si>
  <si>
    <t xml:space="preserve">P08</t>
  </si>
  <si>
    <t xml:space="preserve">稼働調整</t>
  </si>
  <si>
    <t xml:space="preserve">撮影日のレーザー・溶接・クレーンの稼働予定</t>
  </si>
  <si>
    <t xml:space="preserve">通常作業の中で撮れる時間帯を香盤に反映</t>
  </si>
  <si>
    <t xml:space="preserve">P09</t>
  </si>
  <si>
    <t xml:space="preserve">服装</t>
  </si>
  <si>
    <t xml:space="preserve">作業着・ヘルメット・名札の統一</t>
  </si>
  <si>
    <t xml:space="preserve">個人名の名札は撮影用へ変更</t>
  </si>
  <si>
    <t xml:space="preserve">P10</t>
  </si>
  <si>
    <t xml:space="preserve">予備対応</t>
  </si>
  <si>
    <t xml:space="preserve">雨天・設備停止・欠席時の代替</t>
  </si>
  <si>
    <t xml:space="preserve">外観・不足カットは予備撮影日で対応</t>
  </si>
  <si>
    <t xml:space="preserve">P11</t>
  </si>
  <si>
    <t xml:space="preserve">採用条件</t>
  </si>
  <si>
    <t xml:space="preserve">募集職種・給与・勤務・休日</t>
  </si>
  <si>
    <t xml:space="preserve">最新の求人票と一致させる</t>
  </si>
  <si>
    <t xml:space="preserve">P12</t>
  </si>
  <si>
    <t xml:space="preserve">数値・設備仕様・写真の掲載可否</t>
  </si>
  <si>
    <t xml:space="preserve">修正を窓口で集約</t>
  </si>
  <si>
    <t xml:space="preserve">P13</t>
  </si>
  <si>
    <t xml:space="preserve">フォーム</t>
  </si>
  <si>
    <t xml:space="preserve">問い合わせの受信先・添付容量・自動返信文</t>
  </si>
  <si>
    <t xml:space="preserve">図面添付の上限と受信テストの宛先を決める</t>
  </si>
  <si>
    <t xml:space="preserve">P14</t>
  </si>
  <si>
    <t xml:space="preserve">公開承認</t>
  </si>
  <si>
    <t xml:space="preserve">表記・許諾・フォーム受信先の最終確認</t>
  </si>
  <si>
    <t xml:space="preserve">全確認後に公開承認</t>
  </si>
  <si>
    <t xml:space="preserve">出演者設定と参加時間（撮影・取材に必要な時間帯）</t>
  </si>
  <si>
    <t xml:space="preserve">呼称</t>
  </si>
  <si>
    <t xml:space="preserve">人物設定</t>
  </si>
  <si>
    <t xml:space="preserve">勤務先</t>
  </si>
  <si>
    <t xml:space="preserve">参加時間帯</t>
  </si>
  <si>
    <t xml:space="preserve">出演内容・写真ID</t>
  </si>
  <si>
    <t xml:space="preserve">服装・保護具</t>
  </si>
  <si>
    <t xml:space="preserve">取材テーマ・確認</t>
  </si>
  <si>
    <t xml:space="preserve">槇瀬</t>
  </si>
  <si>
    <t xml:space="preserve">代表取締役</t>
  </si>
  <si>
    <t xml:space="preserve">本社</t>
  </si>
  <si>
    <t xml:space="preserve">D2 13:00–13:40</t>
  </si>
  <si>
    <t xml:space="preserve">代表取材／23</t>
  </si>
  <si>
    <t xml:space="preserve">ジャケットまたは作業着</t>
  </si>
  <si>
    <t xml:space="preserve">創業からの仕事／一品ものへの考え方／これからの設備</t>
  </si>
  <si>
    <t xml:space="preserve">製造部長／両工場を統括</t>
  </si>
  <si>
    <t xml:space="preserve">両工場</t>
  </si>
  <si>
    <r>
      <rPr>
        <sz val="10.5"/>
        <color rgb="FF1B2740"/>
        <rFont val="Yu Gothic"/>
        <family val="0"/>
        <charset val="1"/>
      </rPr>
      <t xml:space="preserve">D1 8:00–9:00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D2 8:00–8:30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10:45–11:30</t>
    </r>
  </si>
  <si>
    <t xml:space="preserve">朝礼・測定・安全立会い</t>
  </si>
  <si>
    <t xml:space="preserve">作業着・ヘルメット</t>
  </si>
  <si>
    <t xml:space="preserve">安全ルール／撮影できる設備の判断</t>
  </si>
  <si>
    <t xml:space="preserve">切断担当／入社10年目</t>
  </si>
  <si>
    <t xml:space="preserve">第2工場</t>
  </si>
  <si>
    <r>
      <rPr>
        <sz val="10.5"/>
        <color rgb="FF1B2740"/>
        <rFont val="Yu Gothic"/>
        <family val="0"/>
        <charset val="1"/>
      </rPr>
      <t xml:space="preserve">D1 8:30–10:30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14:30–15:00</t>
    </r>
  </si>
  <si>
    <t xml:space="preserve">レーザー・バンドソー／03・11・18</t>
  </si>
  <si>
    <t xml:space="preserve">作業着・保護めがね</t>
  </si>
  <si>
    <t xml:space="preserve">加工前に図面で確かめること</t>
  </si>
  <si>
    <t xml:space="preserve">板金担当／入社6年目</t>
  </si>
  <si>
    <r>
      <rPr>
        <sz val="10.5"/>
        <color rgb="FF1B2740"/>
        <rFont val="Yu Gothic"/>
        <family val="0"/>
        <charset val="1"/>
      </rPr>
      <t xml:space="preserve">D1 10:45–11:45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13:00–15:00</t>
    </r>
  </si>
  <si>
    <t xml:space="preserve">曲げ・取材／04・26・29</t>
  </si>
  <si>
    <t xml:space="preserve">曲げの難しさ／後輩に教えること</t>
  </si>
  <si>
    <t xml:space="preserve">溶接担当／入社15年目</t>
  </si>
  <si>
    <t xml:space="preserve">D2 9:00–10:30</t>
  </si>
  <si>
    <t xml:space="preserve">溶接／05・12・27</t>
  </si>
  <si>
    <t xml:space="preserve">溶接用の保護具一式</t>
  </si>
  <si>
    <t xml:space="preserve">溶接前の位置決め／品質の確かめ方</t>
  </si>
  <si>
    <t xml:space="preserve">組立・検査担当／入社12年目</t>
  </si>
  <si>
    <r>
      <rPr>
        <sz val="10.5"/>
        <color rgb="FF1B2740"/>
        <rFont val="Yu Gothic"/>
        <family val="0"/>
        <charset val="1"/>
      </rPr>
      <t xml:space="preserve">D2 10:45–11:30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14:20–15:45</t>
    </r>
  </si>
  <si>
    <t xml:space="preserve">測定・指導・出荷／06・09・13</t>
  </si>
  <si>
    <t xml:space="preserve">作業着</t>
  </si>
  <si>
    <t xml:space="preserve">寸法確認の手順／若手との確認</t>
  </si>
  <si>
    <t xml:space="preserve">営業・生産管理／入社8年目</t>
  </si>
  <si>
    <t xml:space="preserve">D2 13:40–14:20</t>
  </si>
  <si>
    <t xml:space="preserve">図面確認の手元／22・30</t>
  </si>
  <si>
    <t xml:space="preserve">事務服または作業着</t>
  </si>
  <si>
    <t xml:space="preserve">見積もり前に確認する条件</t>
  </si>
  <si>
    <t xml:space="preserve">溶接・組立／入社2年目／未経験入社</t>
  </si>
  <si>
    <t xml:space="preserve">D2 14:20–15:00</t>
  </si>
  <si>
    <t xml:space="preserve">採用取材／09・25</t>
  </si>
  <si>
    <t xml:space="preserve">入社前の不安／覚えた順番／相談できた場面</t>
  </si>
  <si>
    <t xml:space="preserve">取材質問案（回答・原稿は別途制作）</t>
  </si>
  <si>
    <t xml:space="preserve">対象</t>
  </si>
  <si>
    <t xml:space="preserve">質問No.</t>
  </si>
  <si>
    <t xml:space="preserve">質問</t>
  </si>
  <si>
    <t xml:space="preserve">1974年の創業から、仕事の中身はどう変わってきましたか？</t>
  </si>
  <si>
    <t xml:space="preserve">一台からの製作を続けている理由は何ですか？</t>
  </si>
  <si>
    <t xml:space="preserve">取引先から図面を預かるとき、最初に確かめることは？</t>
  </si>
  <si>
    <t xml:space="preserve">第2工場に新しい切断設備を入れて、何ができるようになりましたか？</t>
  </si>
  <si>
    <t xml:space="preserve">製作を相談する方に、先に伝えておきたいことは？</t>
  </si>
  <si>
    <t xml:space="preserve">2つの工場で、部材はどのように流れますか？</t>
  </si>
  <si>
    <t xml:space="preserve">検査条件をご注文前に決めるのはなぜですか？</t>
  </si>
  <si>
    <t xml:space="preserve">追加製作で図面の版数を確かめた具体例を教えてください。</t>
  </si>
  <si>
    <t xml:space="preserve">安全のために毎日続けていることは？</t>
  </si>
  <si>
    <t xml:space="preserve">曲げ加工で、図面だけではわからないことは？</t>
  </si>
  <si>
    <t xml:space="preserve">加工後の寸法はどのように確かめていますか？</t>
  </si>
  <si>
    <t xml:space="preserve">後輩に最初に教えることは何ですか？</t>
  </si>
  <si>
    <t xml:space="preserve">金属加工の経験がない中で、応募を決めた理由は？</t>
  </si>
  <si>
    <t xml:space="preserve">入社して最初の1か月で、戸惑ったことは？</t>
  </si>
  <si>
    <t xml:space="preserve">先輩に相談して助かった場面を教えてください。</t>
  </si>
  <si>
    <t xml:space="preserve">いまできるようになったことと、まだ難しいことは？</t>
  </si>
  <si>
    <t xml:space="preserve">工場見学に来る方に、どこを見てほしいですか？</t>
  </si>
  <si>
    <r>
      <rPr>
        <b val="true"/>
        <sz val="18"/>
        <color rgb="FF1B2740"/>
        <rFont val="Yu Gothic"/>
        <family val="0"/>
        <charset val="1"/>
      </rPr>
      <t xml:space="preserve">7</t>
    </r>
    <r>
      <rPr>
        <b val="true"/>
        <sz val="18"/>
        <color rgb="FF1B2740"/>
        <rFont val="Noto Sans CJK SC"/>
        <family val="2"/>
      </rPr>
      <t xml:space="preserve">ページ サイト構成と写真の対応</t>
    </r>
  </si>
  <si>
    <t xml:space="preserve">槇瀬製作所 コーポレートサイト制作計画（デモ）｜7ページの構成と写真の対応</t>
  </si>
  <si>
    <t xml:space="preserve">株式会社 槇瀬製作所：埼玉県川口市領家、1974年創業、従業員32名、本社工場・領家第2工場の2拠点。すべて架空の設定。</t>
  </si>
  <si>
    <t xml:space="preserve">紺と鋼のグレーを基調に、工程を順に見せる構成。トップは製作工程4つと製作品、下層は仕様・条件を表で整理。</t>
  </si>
  <si>
    <t xml:space="preserve">全7ページの原稿・写真・サイト初版を制作。写真カット見本と掲載先を照らし合わせて確認できます。</t>
  </si>
  <si>
    <t xml:space="preserve">ページID</t>
  </si>
  <si>
    <t xml:space="preserve">ページ</t>
  </si>
  <si>
    <t xml:space="preserve">見出し</t>
  </si>
  <si>
    <t xml:space="preserve">掲載内容</t>
  </si>
  <si>
    <t xml:space="preserve">記事・表示の条件</t>
  </si>
  <si>
    <t xml:space="preserve">次の導線</t>
  </si>
  <si>
    <t xml:space="preserve">機械架台を、一台から。</t>
  </si>
  <si>
    <t xml:space="preserve">製作工程4つ／製作品／対応材質／設備／強み／相談の流れ／会社／採用</t>
  </si>
  <si>
    <t xml:space="preserve">01–09</t>
  </si>
  <si>
    <t xml:space="preserve">初回のみ社名が現れる演出</t>
  </si>
  <si>
    <t xml:space="preserve">相談・見積もりへ</t>
  </si>
  <si>
    <t xml:space="preserve">架台・カバー・製缶品の切断から組立まで。</t>
  </si>
  <si>
    <t xml:space="preserve">切断／曲げ／溶接／組立・出荷／加工条件の相談</t>
  </si>
  <si>
    <r>
      <rPr>
        <sz val="10.5"/>
        <color rgb="FF1B2740"/>
        <rFont val="Yu Gothic"/>
        <family val="0"/>
        <charset val="1"/>
      </rPr>
      <t xml:space="preserve">03–06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10–13</t>
    </r>
  </si>
  <si>
    <t xml:space="preserve">対応材質・寸法は実際の設備で確認</t>
  </si>
  <si>
    <t xml:space="preserve">製作例・相談へ</t>
  </si>
  <si>
    <t xml:space="preserve">機械架台・設備カバー・ホッパーの製作例</t>
  </si>
  <si>
    <t xml:space="preserve">3例／材質・寸法・数量・担当工程／相談時の確認事項</t>
  </si>
  <si>
    <r>
      <rPr>
        <sz val="10.5"/>
        <color rgb="FF1B2740"/>
        <rFont val="Yu Gothic"/>
        <family val="0"/>
        <charset val="1"/>
      </rPr>
      <t xml:space="preserve">07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14–16</t>
    </r>
  </si>
  <si>
    <t xml:space="preserve">取引先の掲載許諾が前提。不可なら一般化</t>
  </si>
  <si>
    <t xml:space="preserve">相談へ</t>
  </si>
  <si>
    <t xml:space="preserve">設備・工場紹介</t>
  </si>
  <si>
    <t xml:space="preserve">切断・板金の第2工場。溶接・組立の本社工場。</t>
  </si>
  <si>
    <t xml:space="preserve">工場配置と部材の流れ／主な設備／検査条件</t>
  </si>
  <si>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17–21</t>
    </r>
  </si>
  <si>
    <t xml:space="preserve">川口・領家の槇瀬製作所。</t>
  </si>
  <si>
    <t xml:space="preserve">会社概要／沿革／本社工場・第2工場</t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</si>
  <si>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22–24</t>
    </r>
  </si>
  <si>
    <t xml:space="preserve">沿革・数字は会社資料で確認</t>
  </si>
  <si>
    <t xml:space="preserve">設備・採用へ</t>
  </si>
  <si>
    <t xml:space="preserve">製造スタッフ採用情報</t>
  </si>
  <si>
    <t xml:space="preserve">仕事内容／入社後の教育／募集要項／選考の流れ</t>
  </si>
  <si>
    <r>
      <rPr>
        <sz val="10.5"/>
        <color rgb="FF1B2740"/>
        <rFont val="Yu Gothic"/>
        <family val="0"/>
        <charset val="1"/>
      </rPr>
      <t xml:space="preserve">09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25–29</t>
    </r>
  </si>
  <si>
    <t xml:space="preserve">募集条件は最新の求人票と一致させる</t>
  </si>
  <si>
    <t xml:space="preserve">会社案内へ</t>
  </si>
  <si>
    <t xml:space="preserve">製作のご相談・お見積もり</t>
  </si>
  <si>
    <t xml:space="preserve">入力・確認・完了／図面の添付</t>
  </si>
  <si>
    <t xml:space="preserve">添付容量・受信先・自動返信を確定</t>
  </si>
  <si>
    <t xml:space="preserve">完了画面</t>
  </si>
  <si>
    <t xml:space="preserve">写真30点 カット見本</t>
  </si>
  <si>
    <t xml:space="preserve">槇瀬製作所 コーポレートサイト制作計画（デモ）｜撮影指示書の写真IDと対応</t>
  </si>
  <si>
    <t xml:space="preserve">写真はAI生成です。デモサイトで使った11点を、撮影指示書の写真IDと対応させて表示しています（見本のないカットは撮影指示書の構図を参照）。人物・服装・作業は実際の撮影前に確認します。</t>
  </si>
  <si>
    <r>
      <rPr>
        <b val="true"/>
        <sz val="10"/>
        <color rgb="FFFFFFFF"/>
        <rFont val="Yu Gothic"/>
        <family val="0"/>
        <charset val="1"/>
      </rPr>
      <t xml:space="preserve">01 </t>
    </r>
    <r>
      <rPr>
        <b val="true"/>
        <sz val="10"/>
        <color rgb="FFFFFFFF"/>
        <rFont val="Noto Sans CJK SC"/>
        <family val="2"/>
      </rPr>
      <t xml:space="preserve">稼働中の本社工場 全景（横）</t>
    </r>
  </si>
  <si>
    <r>
      <rPr>
        <b val="true"/>
        <sz val="10"/>
        <color rgb="FFFFFFFF"/>
        <rFont val="Yu Gothic"/>
        <family val="0"/>
        <charset val="1"/>
      </rPr>
      <t xml:space="preserve">03 </t>
    </r>
    <r>
      <rPr>
        <b val="true"/>
        <sz val="10"/>
        <color rgb="FFFFFFFF"/>
        <rFont val="Noto Sans CJK SC"/>
        <family val="2"/>
      </rPr>
      <t xml:space="preserve">レーザー切断</t>
    </r>
  </si>
  <si>
    <r>
      <rPr>
        <b val="true"/>
        <sz val="10"/>
        <color rgb="FFFFFFFF"/>
        <rFont val="Yu Gothic"/>
        <family val="0"/>
        <charset val="1"/>
      </rPr>
      <t xml:space="preserve">04 </t>
    </r>
    <r>
      <rPr>
        <b val="true"/>
        <sz val="10"/>
        <color rgb="FFFFFFFF"/>
        <rFont val="Noto Sans CJK SC"/>
        <family val="2"/>
      </rPr>
      <t xml:space="preserve">プレスブレーキ曲げ</t>
    </r>
  </si>
  <si>
    <t xml:space="preserve">掲載先：トップ</t>
  </si>
  <si>
    <t xml:space="preserve">掲載先：トップ／加工・製作</t>
  </si>
  <si>
    <r>
      <rPr>
        <b val="true"/>
        <sz val="10"/>
        <color rgb="FFFFFFFF"/>
        <rFont val="Yu Gothic"/>
        <family val="0"/>
        <charset val="1"/>
      </rPr>
      <t xml:space="preserve">05 </t>
    </r>
    <r>
      <rPr>
        <b val="true"/>
        <sz val="10"/>
        <color rgb="FFFFFFFF"/>
        <rFont val="Noto Sans CJK SC"/>
        <family val="2"/>
      </rPr>
      <t xml:space="preserve">半自動溶接</t>
    </r>
  </si>
  <si>
    <r>
      <rPr>
        <b val="true"/>
        <sz val="10"/>
        <color rgb="FFFFFFFF"/>
        <rFont val="Yu Gothic"/>
        <family val="0"/>
        <charset val="1"/>
      </rPr>
      <t xml:space="preserve">06 </t>
    </r>
    <r>
      <rPr>
        <b val="true"/>
        <sz val="10"/>
        <color rgb="FFFFFFFF"/>
        <rFont val="Noto Sans CJK SC"/>
        <family val="2"/>
      </rPr>
      <t xml:space="preserve">組立後の寸法測定</t>
    </r>
  </si>
  <si>
    <r>
      <rPr>
        <b val="true"/>
        <sz val="10"/>
        <color rgb="FFFFFFFF"/>
        <rFont val="Yu Gothic"/>
        <family val="0"/>
        <charset val="1"/>
      </rPr>
      <t xml:space="preserve">07 </t>
    </r>
    <r>
      <rPr>
        <b val="true"/>
        <sz val="10"/>
        <color rgb="FFFFFFFF"/>
        <rFont val="Noto Sans CJK SC"/>
        <family val="2"/>
      </rPr>
      <t xml:space="preserve">機械架台・カバー・ホッパーの並び</t>
    </r>
  </si>
  <si>
    <t xml:space="preserve">掲載先：トップ（製作品）</t>
  </si>
  <si>
    <r>
      <rPr>
        <b val="true"/>
        <sz val="10"/>
        <color rgb="FFFFFFFF"/>
        <rFont val="Yu Gothic"/>
        <family val="0"/>
        <charset val="1"/>
      </rPr>
      <t xml:space="preserve">08 </t>
    </r>
    <r>
      <rPr>
        <b val="true"/>
        <sz val="10"/>
        <color rgb="FFFFFFFF"/>
        <rFont val="Noto Sans CJK SC"/>
        <family val="2"/>
      </rPr>
      <t xml:space="preserve">本社工場の外観・看板</t>
    </r>
  </si>
  <si>
    <r>
      <rPr>
        <b val="true"/>
        <sz val="10"/>
        <color rgb="FFFFFFFF"/>
        <rFont val="Yu Gothic"/>
        <family val="0"/>
        <charset val="1"/>
      </rPr>
      <t xml:space="preserve">09 </t>
    </r>
    <r>
      <rPr>
        <b val="true"/>
        <sz val="10"/>
        <color rgb="FFFFFFFF"/>
        <rFont val="Noto Sans CJK SC"/>
        <family val="2"/>
      </rPr>
      <t xml:space="preserve">先輩と若手の寸法確認</t>
    </r>
  </si>
  <si>
    <r>
      <rPr>
        <b val="true"/>
        <sz val="10"/>
        <color rgb="FFFFFFFF"/>
        <rFont val="Yu Gothic"/>
        <family val="0"/>
        <charset val="1"/>
      </rPr>
      <t xml:space="preserve">10 </t>
    </r>
    <r>
      <rPr>
        <b val="true"/>
        <sz val="10"/>
        <color rgb="FFFFFFFF"/>
        <rFont val="Noto Sans CJK SC"/>
        <family val="2"/>
      </rPr>
      <t xml:space="preserve">切断部材と図面の作業台</t>
    </r>
  </si>
  <si>
    <t xml:space="preserve">掲載先：トップ／会社案内</t>
  </si>
  <si>
    <t xml:space="preserve">掲載先：トップ／採用情報</t>
  </si>
  <si>
    <t xml:space="preserve">掲載先：加工・製作（見出し）</t>
  </si>
  <si>
    <r>
      <rPr>
        <b val="true"/>
        <sz val="10"/>
        <color rgb="FFFFFFFF"/>
        <rFont val="Yu Gothic"/>
        <family val="0"/>
        <charset val="1"/>
      </rPr>
      <t xml:space="preserve">14 </t>
    </r>
    <r>
      <rPr>
        <b val="true"/>
        <sz val="10"/>
        <color rgb="FFFFFFFF"/>
        <rFont val="Noto Sans CJK SC"/>
        <family val="2"/>
      </rPr>
      <t xml:space="preserve">設備カバーとホッパー</t>
    </r>
  </si>
  <si>
    <r>
      <rPr>
        <b val="true"/>
        <sz val="10"/>
        <color rgb="FFFFFFFF"/>
        <rFont val="Yu Gothic"/>
        <family val="0"/>
        <charset val="1"/>
      </rPr>
      <t xml:space="preserve">17 </t>
    </r>
    <r>
      <rPr>
        <b val="true"/>
        <sz val="10"/>
        <color rgb="FFFFFFFF"/>
        <rFont val="Noto Sans CJK SC"/>
        <family val="2"/>
      </rPr>
      <t xml:space="preserve">プレスブレーキの金型</t>
    </r>
  </si>
  <si>
    <r>
      <rPr>
        <b val="true"/>
        <sz val="10"/>
        <color rgb="FFFFFFFF"/>
        <rFont val="Yu Gothic"/>
        <family val="0"/>
        <charset val="1"/>
      </rPr>
      <t xml:space="preserve">22 </t>
    </r>
    <r>
      <rPr>
        <b val="true"/>
        <sz val="10"/>
        <color rgb="FFFFFFFF"/>
        <rFont val="Noto Sans CJK SC"/>
        <family val="2"/>
      </rPr>
      <t xml:space="preserve">生産管理室から工場を見る</t>
    </r>
  </si>
  <si>
    <t xml:space="preserve">掲載先：製作例（見出し）</t>
  </si>
  <si>
    <t xml:space="preserve">掲載先：設備・工場（見出し）</t>
  </si>
  <si>
    <t xml:space="preserve">掲載先：会社案内（見出し）</t>
  </si>
  <si>
    <r>
      <rPr>
        <b val="true"/>
        <sz val="10"/>
        <color rgb="FFFFFFFF"/>
        <rFont val="Yu Gothic"/>
        <family val="0"/>
        <charset val="1"/>
      </rPr>
      <t xml:space="preserve">30 </t>
    </r>
    <r>
      <rPr>
        <b val="true"/>
        <sz val="10"/>
        <color rgb="FFFFFFFF"/>
        <rFont val="Noto Sans CJK SC"/>
        <family val="2"/>
      </rPr>
      <t xml:space="preserve">図面と部材を確認する手元</t>
    </r>
  </si>
  <si>
    <t xml:space="preserve">掲載先：お問い合わせ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</si>
</sst>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$-411]m/d\（AAA\）"/>
    <numFmt numFmtId="166" formatCode="0\件"/>
    <numFmt numFmtId="167" formatCode="0%"/>
    <numFmt numFmtId="168" formatCode="d"/>
    <numFmt numFmtId="169" formatCode="m/d"/>
    <numFmt numFmtId="170" formatCode="[$-411]yyyy/m/d\（AAA\）"/>
    <numFmt numFmtId="171" formatCode="m/d\〜"/>
    <numFmt numFmtId="172" formatCode="@"/>
    <numFmt numFmtId="173" formatCode="h:mm"/>
    <numFmt numFmtId="174" formatCode="General"/>
  </numFmts>
  <fonts count="5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2A93B"/>
      <name val="Yu Gothic"/>
      <family val="0"/>
      <charset val="1"/>
    </font>
    <font>
      <b val="true"/>
      <sz val="26"/>
      <color rgb="FFFFFFFF"/>
      <name val="Noto Sans CJK SC"/>
      <family val="2"/>
      <charset val="1"/>
    </font>
    <font>
      <sz val="11"/>
      <color rgb="FFD9DCE4"/>
      <name val="Noto Sans CJK SC"/>
      <family val="2"/>
      <charset val="1"/>
    </font>
    <font>
      <b val="true"/>
      <sz val="12"/>
      <color rgb="FFFFFFFF"/>
      <name val="Noto Sans CJK SC"/>
      <family val="2"/>
      <charset val="1"/>
    </font>
    <font>
      <b val="true"/>
      <sz val="13"/>
      <color rgb="FF1B2740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b val="true"/>
      <sz val="11"/>
      <color rgb="FF1B2740"/>
      <name val="Noto Sans CJK SC"/>
      <family val="2"/>
      <charset val="1"/>
    </font>
    <font>
      <b val="true"/>
      <sz val="11"/>
      <color rgb="FF1B2740"/>
      <name val="Yu Gothic"/>
      <family val="0"/>
      <charset val="1"/>
    </font>
    <font>
      <sz val="11"/>
      <color rgb="FF1B2740"/>
      <name val="Noto Sans CJK SC"/>
      <family val="2"/>
      <charset val="1"/>
    </font>
    <font>
      <b val="true"/>
      <sz val="10"/>
      <color rgb="FF1B2740"/>
      <name val="Noto Sans CJK SC"/>
      <family val="2"/>
      <charset val="1"/>
    </font>
    <font>
      <sz val="11"/>
      <color rgb="FF1B2740"/>
      <name val="Yu Gothic"/>
      <family val="0"/>
      <charset val="1"/>
    </font>
    <font>
      <b val="true"/>
      <sz val="12"/>
      <color rgb="FF1B2740"/>
      <name val="Noto Sans CJK SC"/>
      <family val="2"/>
      <charset val="1"/>
    </font>
    <font>
      <b val="true"/>
      <sz val="18"/>
      <color rgb="FF1B2740"/>
      <name val="Yu Gothic"/>
      <family val="0"/>
      <charset val="1"/>
    </font>
    <font>
      <sz val="9"/>
      <color rgb="FF4D5770"/>
      <name val="Noto Sans CJK SC"/>
      <family val="2"/>
      <charset val="1"/>
    </font>
    <font>
      <b val="true"/>
      <u val="single"/>
      <sz val="11"/>
      <color rgb="FF1F4FA8"/>
      <name val="Noto Sans CJK SC"/>
      <family val="2"/>
      <charset val="1"/>
    </font>
    <font>
      <sz val="10.5"/>
      <color rgb="FF4D5770"/>
      <name val="Noto Sans CJK SC"/>
      <family val="2"/>
      <charset val="1"/>
    </font>
    <font>
      <sz val="10.5"/>
      <color rgb="FF4D5770"/>
      <name val="Yu Gothic"/>
      <family val="0"/>
      <charset val="1"/>
    </font>
    <font>
      <sz val="10.5"/>
      <color rgb="FF4D5770"/>
      <name val="Noto Sans CJK SC"/>
      <family val="2"/>
    </font>
    <font>
      <b val="true"/>
      <sz val="18"/>
      <color rgb="FF1B2740"/>
      <name val="Noto Sans CJK SC"/>
      <family val="2"/>
      <charset val="1"/>
    </font>
    <font>
      <sz val="9.5"/>
      <color rgb="FF4D5770"/>
      <name val="Noto Sans CJK SC"/>
      <family val="2"/>
      <charset val="1"/>
    </font>
    <font>
      <b val="true"/>
      <sz val="9.5"/>
      <color rgb="FFFFFFFF"/>
      <name val="Noto Sans CJK SC"/>
      <family val="2"/>
      <charset val="1"/>
    </font>
    <font>
      <b val="true"/>
      <sz val="9.5"/>
      <color rgb="FF1B2740"/>
      <name val="Noto Sans CJK SC"/>
      <family val="2"/>
      <charset val="1"/>
    </font>
    <font>
      <b val="true"/>
      <sz val="9.5"/>
      <color rgb="FFC0392B"/>
      <name val="Noto Sans CJK SC"/>
      <family val="2"/>
      <charset val="1"/>
    </font>
    <font>
      <b val="true"/>
      <sz val="10"/>
      <color rgb="FFFFFFFF"/>
      <name val="Yu Gothic"/>
      <family val="0"/>
      <charset val="1"/>
    </font>
    <font>
      <b val="true"/>
      <sz val="9"/>
      <color rgb="FF1B2740"/>
      <name val="Yu Gothic"/>
      <family val="0"/>
      <charset val="1"/>
    </font>
    <font>
      <b val="true"/>
      <sz val="10"/>
      <color rgb="FFC8553D"/>
      <name val="Noto Sans CJK SC"/>
      <family val="2"/>
      <charset val="1"/>
    </font>
    <font>
      <b val="true"/>
      <sz val="9"/>
      <color rgb="FFC8553D"/>
      <name val="Yu Gothic"/>
      <family val="0"/>
      <charset val="1"/>
    </font>
    <font>
      <b val="true"/>
      <sz val="10.5"/>
      <color rgb="FF1B2740"/>
      <name val="Yu Gothic"/>
      <family val="0"/>
      <charset val="1"/>
    </font>
    <font>
      <b val="true"/>
      <sz val="10.5"/>
      <color rgb="FF1B2740"/>
      <name val="Noto Sans CJK SC"/>
      <family val="2"/>
    </font>
    <font>
      <sz val="8"/>
      <color rgb="FFE4E6EC"/>
      <name val="Yu Gothic"/>
      <family val="0"/>
      <charset val="1"/>
    </font>
    <font>
      <b val="true"/>
      <sz val="10"/>
      <color rgb="FF1B2740"/>
      <name val="Yu Gothic"/>
      <family val="0"/>
      <charset val="1"/>
    </font>
    <font>
      <sz val="10"/>
      <color rgb="FF1B2740"/>
      <name val="Noto Sans CJK SC"/>
      <family val="2"/>
      <charset val="1"/>
    </font>
    <font>
      <b val="true"/>
      <sz val="9"/>
      <color rgb="FF4D5770"/>
      <name val="Noto Sans CJK SC"/>
      <family val="2"/>
      <charset val="1"/>
    </font>
    <font>
      <sz val="10"/>
      <color rgb="FF1B2740"/>
      <name val="Yu Gothic"/>
      <family val="0"/>
      <charset val="1"/>
    </font>
    <font>
      <b val="true"/>
      <sz val="10"/>
      <color rgb="FFC0392B"/>
      <name val="Yu Gothic"/>
      <family val="0"/>
      <charset val="1"/>
    </font>
    <font>
      <b val="true"/>
      <sz val="9"/>
      <color rgb="FFC0392B"/>
      <name val="Yu Gothic"/>
      <family val="0"/>
      <charset val="1"/>
    </font>
    <font>
      <sz val="10"/>
      <color rgb="FF4D5770"/>
      <name val="Noto Sans CJK SC"/>
      <family val="2"/>
      <charset val="1"/>
    </font>
    <font>
      <sz val="11"/>
      <color rgb="FF263238"/>
      <name val="Yu Gothic"/>
      <family val="0"/>
      <charset val="1"/>
    </font>
    <font>
      <b val="true"/>
      <sz val="12"/>
      <color rgb="FF1B2740"/>
      <name val="Yu Gothic"/>
      <family val="0"/>
      <charset val="1"/>
    </font>
    <font>
      <b val="true"/>
      <sz val="12"/>
      <color rgb="FFC8553D"/>
      <name val="Yu Gothic"/>
      <family val="0"/>
      <charset val="1"/>
    </font>
    <font>
      <sz val="9"/>
      <color rgb="FF4D5770"/>
      <name val="Yu Gothic"/>
      <family val="0"/>
      <charset val="1"/>
    </font>
    <font>
      <b val="true"/>
      <sz val="10"/>
      <color rgb="FFFFFFFF"/>
      <name val="Noto Sans CJK SC"/>
      <family val="2"/>
    </font>
    <font>
      <sz val="10.5"/>
      <color rgb="FF1B2740"/>
      <name val="Noto Sans CJK SC"/>
      <family val="2"/>
      <charset val="1"/>
    </font>
    <font>
      <b val="true"/>
      <sz val="10.5"/>
      <color rgb="FF1B2740"/>
      <name val="Noto Sans CJK SC"/>
      <family val="2"/>
      <charset val="1"/>
    </font>
    <font>
      <sz val="10.5"/>
      <color rgb="FF1B2740"/>
      <name val="Yu Gothic"/>
      <family val="0"/>
      <charset val="1"/>
    </font>
    <font>
      <sz val="9"/>
      <color rgb="FFFFFFFF"/>
      <name val="Yu Gothic"/>
      <family val="0"/>
      <charset val="1"/>
    </font>
    <font>
      <sz val="10"/>
      <color rgb="FF4D5770"/>
      <name val="Yu Gothic"/>
      <family val="0"/>
      <charset val="1"/>
    </font>
    <font>
      <sz val="10.5"/>
      <color rgb="FF1B2740"/>
      <name val="Noto Sans CJK SC"/>
      <family val="2"/>
    </font>
    <font>
      <b val="true"/>
      <sz val="18"/>
      <color rgb="FF1B2740"/>
      <name val="Noto Sans CJK SC"/>
      <family val="2"/>
    </font>
    <font>
      <sz val="10"/>
      <color rgb="FF4D5770"/>
      <name val="Noto Sans CJK SC"/>
      <family val="2"/>
    </font>
    <font>
      <b val="true"/>
      <sz val="10"/>
      <color rgb="FF4D5770"/>
      <name val="Yu Gothic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B2740"/>
        <bgColor rgb="FF263238"/>
      </patternFill>
    </fill>
    <fill>
      <patternFill patternType="solid">
        <fgColor rgb="FFF2A93B"/>
        <bgColor rgb="FFE98235"/>
      </patternFill>
    </fill>
    <fill>
      <patternFill patternType="solid">
        <fgColor rgb="FFC8553D"/>
        <bgColor rgb="FFC0392B"/>
      </patternFill>
    </fill>
    <fill>
      <patternFill patternType="solid">
        <fgColor rgb="FFFBE7C6"/>
        <bgColor rgb="FFFFF1C9"/>
      </patternFill>
    </fill>
    <fill>
      <patternFill patternType="solid">
        <fgColor rgb="FFFFF1C9"/>
        <bgColor rgb="FFFBE7C6"/>
      </patternFill>
    </fill>
    <fill>
      <patternFill patternType="solid">
        <fgColor rgb="FFFFFFFF"/>
        <bgColor rgb="FFFAFAF7"/>
      </patternFill>
    </fill>
    <fill>
      <patternFill patternType="solid">
        <fgColor rgb="FFFDECEA"/>
        <bgColor rgb="FFF3F2EE"/>
      </patternFill>
    </fill>
    <fill>
      <patternFill patternType="solid">
        <fgColor rgb="FF2D3A57"/>
        <bgColor rgb="FF263238"/>
      </patternFill>
    </fill>
    <fill>
      <patternFill patternType="solid">
        <fgColor rgb="FFF0EEE6"/>
        <bgColor rgb="FFECECE8"/>
      </patternFill>
    </fill>
    <fill>
      <patternFill patternType="solid">
        <fgColor rgb="FFE4E6EC"/>
        <bgColor rgb="FFE6E6E1"/>
      </patternFill>
    </fill>
    <fill>
      <patternFill patternType="solid">
        <fgColor rgb="FFFAFAF7"/>
        <bgColor rgb="FFFAFAF6"/>
      </patternFill>
    </fill>
    <fill>
      <patternFill patternType="solid">
        <fgColor rgb="FFFAFAF6"/>
        <bgColor rgb="FFFAFAF7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ck">
        <color rgb="FFF2A93B"/>
      </left>
      <right/>
      <top/>
      <bottom/>
      <diagonal/>
    </border>
    <border diagonalUp="false" diagonalDown="false">
      <left/>
      <right style="thin">
        <color rgb="FF2D3A57"/>
      </right>
      <top/>
      <bottom/>
      <diagonal/>
    </border>
    <border diagonalUp="false" diagonalDown="false">
      <left/>
      <right/>
      <top/>
      <bottom style="thin">
        <color rgb="FFD9DAD3"/>
      </bottom>
      <diagonal/>
    </border>
    <border diagonalUp="false" diagonalDown="false">
      <left style="thin">
        <color rgb="FFD9DAD3"/>
      </left>
      <right/>
      <top style="thin">
        <color rgb="FFD9DAD3"/>
      </top>
      <bottom style="thin">
        <color rgb="FFD9DAD3"/>
      </bottom>
      <diagonal/>
    </border>
    <border diagonalUp="false" diagonalDown="false">
      <left/>
      <right/>
      <top style="thin">
        <color rgb="FFD9DAD3"/>
      </top>
      <bottom style="thin">
        <color rgb="FFD9DAD3"/>
      </bottom>
      <diagonal/>
    </border>
    <border diagonalUp="false" diagonalDown="false">
      <left/>
      <right style="thin">
        <color rgb="FFE6E6E1"/>
      </right>
      <top/>
      <bottom/>
      <diagonal/>
    </border>
    <border diagonalUp="false" diagonalDown="false">
      <left/>
      <right style="thin">
        <color rgb="FFE6E6E1"/>
      </right>
      <top/>
      <bottom style="thin">
        <color rgb="FFD9DAD3"/>
      </bottom>
      <diagonal/>
    </border>
    <border diagonalUp="false" diagonalDown="false">
      <left/>
      <right/>
      <top style="thin">
        <color rgb="FFB9BDC8"/>
      </top>
      <bottom/>
      <diagonal/>
    </border>
    <border diagonalUp="false" diagonalDown="false">
      <left/>
      <right style="thin">
        <color rgb="FFECECE8"/>
      </right>
      <top style="thin">
        <color rgb="FFB9BDC8"/>
      </top>
      <bottom/>
      <diagonal/>
    </border>
    <border diagonalUp="false" diagonalDown="false">
      <left/>
      <right style="thin">
        <color rgb="FFECECE8"/>
      </right>
      <top/>
      <bottom style="thin">
        <color rgb="FFECECE8"/>
      </bottom>
      <diagonal/>
    </border>
    <border diagonalUp="false" diagonalDown="false">
      <left/>
      <right/>
      <top/>
      <bottom style="thin">
        <color rgb="FFE98235"/>
      </bottom>
      <diagonal/>
    </border>
    <border diagonalUp="false" diagonalDown="false">
      <left/>
      <right/>
      <top/>
      <bottom style="medium">
        <color rgb="FFF2A93B"/>
      </bottom>
      <diagonal/>
    </border>
    <border diagonalUp="false" diagonalDown="false">
      <left/>
      <right style="thin">
        <color rgb="FFECECE8"/>
      </right>
      <top/>
      <bottom style="thin">
        <color rgb="FFD9DAD3"/>
      </bottom>
      <diagonal/>
    </border>
    <border diagonalUp="false" diagonalDown="false">
      <left style="thick">
        <color rgb="FF1B2740"/>
      </left>
      <right/>
      <top/>
      <bottom style="thin">
        <color rgb="FFD9DA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8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1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2" fillId="11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2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6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8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2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43" fillId="6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4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9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1" fillId="1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1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7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3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5" fillId="1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5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1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1" fillId="1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1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1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1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1" fillId="1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9">
    <dxf>
      <fill>
        <patternFill>
          <bgColor rgb="FFFDECEA"/>
        </patternFill>
      </fill>
    </dxf>
    <dxf>
      <fill>
        <patternFill>
          <bgColor rgb="FFB9BDC8"/>
        </patternFill>
      </fill>
    </dxf>
    <dxf>
      <font>
        <b val="1"/>
        <color rgb="FFFFFFFF"/>
      </font>
      <fill>
        <patternFill>
          <bgColor rgb="FFC8553D"/>
        </patternFill>
      </fill>
    </dxf>
    <dxf>
      <font>
        <b val="1"/>
        <color rgb="FF1B2740"/>
      </font>
      <fill>
        <patternFill>
          <bgColor rgb="FFF2A93B"/>
        </patternFill>
      </fill>
    </dxf>
    <dxf>
      <font>
        <b val="1"/>
        <color rgb="FFFFFFFF"/>
      </font>
      <fill>
        <patternFill>
          <bgColor rgb="FF1B2740"/>
        </patternFill>
      </fill>
    </dxf>
    <dxf>
      <fill>
        <patternFill>
          <bgColor rgb="FFFBE7C6"/>
        </patternFill>
      </fill>
    </dxf>
    <dxf>
      <fill>
        <patternFill>
          <bgColor rgb="FFF3F2EE"/>
        </patternFill>
      </fill>
    </dxf>
    <dxf>
      <font>
        <b val="1"/>
        <color rgb="FFFFFFFF"/>
      </font>
      <fill>
        <patternFill>
          <bgColor rgb="FFC0392B"/>
        </patternFill>
      </fill>
    </dxf>
    <dxf>
      <font>
        <color rgb="FF8A90A0"/>
      </font>
      <fill>
        <patternFill>
          <bgColor rgb="FFF0EEE6"/>
        </patternFill>
      </fill>
    </dxf>
    <dxf>
      <font>
        <name val="Yu Gothic"/>
        <charset val="1"/>
        <family val="0"/>
        <b val="1"/>
        <color rgb="FF5B6375"/>
      </font>
      <fill>
        <patternFill>
          <bgColor rgb="FFEEEFF2"/>
        </patternFill>
      </fill>
    </dxf>
    <dxf>
      <font>
        <name val="Yu Gothic"/>
        <charset val="1"/>
        <family val="0"/>
        <b val="1"/>
        <color rgb="FF1F4FA8"/>
      </font>
      <fill>
        <patternFill>
          <bgColor rgb="FFDCE6F7"/>
        </patternFill>
      </fill>
    </dxf>
    <dxf>
      <font>
        <name val="Yu Gothic"/>
        <charset val="1"/>
        <family val="0"/>
        <b val="1"/>
        <color rgb="FF8A5A00"/>
      </font>
      <fill>
        <patternFill>
          <bgColor rgb="FFFBE7C6"/>
        </patternFill>
      </fill>
    </dxf>
    <dxf>
      <font>
        <name val="Yu Gothic"/>
        <charset val="1"/>
        <family val="0"/>
        <b val="1"/>
        <color rgb="FF2E6B34"/>
      </font>
      <fill>
        <patternFill>
          <bgColor rgb="FFE1EFDF"/>
        </patternFill>
      </fill>
    </dxf>
    <dxf>
      <font>
        <name val="Yu Gothic"/>
        <charset val="1"/>
        <family val="0"/>
        <b val="1"/>
        <color rgb="FFC0392B"/>
      </font>
      <fill>
        <patternFill>
          <bgColor rgb="FFFBE0DC"/>
        </patternFill>
      </fill>
    </dxf>
    <dxf>
      <font>
        <b val="1"/>
        <color rgb="FF8A5A00"/>
      </font>
      <fill>
        <patternFill>
          <bgColor rgb="FFFBE7C6"/>
        </patternFill>
      </fill>
    </dxf>
    <dxf>
      <font>
        <b val="1"/>
        <color rgb="FFC8553D"/>
      </font>
    </dxf>
    <dxf>
      <font>
        <color rgb="FFF2A93B"/>
      </font>
      <fill>
        <patternFill>
          <bgColor rgb="FFF2A93B"/>
        </patternFill>
      </fill>
    </dxf>
    <dxf>
      <font>
        <color rgb="FFC8553D"/>
      </font>
      <fill>
        <patternFill>
          <bgColor rgb="FFC8553D"/>
        </patternFill>
      </fill>
    </dxf>
    <dxf>
      <font>
        <color rgb="FF1B2740"/>
      </font>
      <fill>
        <patternFill>
          <bgColor rgb="FF1B274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0EEE6"/>
      <rgbColor rgb="FFFF00FF"/>
      <rgbColor rgb="FF00FFFF"/>
      <rgbColor rgb="FF800000"/>
      <rgbColor rgb="FF2E6B34"/>
      <rgbColor rgb="FF000080"/>
      <rgbColor rgb="FF8A5A00"/>
      <rgbColor rgb="FF800080"/>
      <rgbColor rgb="FF008080"/>
      <rgbColor rgb="FFB9BDC8"/>
      <rgbColor rgb="FF7A869E"/>
      <rgbColor rgb="FFECECE8"/>
      <rgbColor rgb="FF993366"/>
      <rgbColor rgb="FFFFF1C9"/>
      <rgbColor rgb="FFDCE6F7"/>
      <rgbColor rgb="FF660066"/>
      <rgbColor rgb="FFE98235"/>
      <rgbColor rgb="FF1F4FA8"/>
      <rgbColor rgb="FFD9DCE4"/>
      <rgbColor rgb="FF000080"/>
      <rgbColor rgb="FFFF00FF"/>
      <rgbColor rgb="FFFDECEA"/>
      <rgbColor rgb="FF00FFFF"/>
      <rgbColor rgb="FF800080"/>
      <rgbColor rgb="FF800000"/>
      <rgbColor rgb="FF008080"/>
      <rgbColor rgb="FF0000FF"/>
      <rgbColor rgb="FF00CCFF"/>
      <rgbColor rgb="FFEEEFF2"/>
      <rgbColor rgb="FFE1EFDF"/>
      <rgbColor rgb="FFFBE7C6"/>
      <rgbColor rgb="FFD9DAD3"/>
      <rgbColor rgb="FFE6E6E1"/>
      <rgbColor rgb="FFE4E6EC"/>
      <rgbColor rgb="FFFBE0DC"/>
      <rgbColor rgb="FF3366FF"/>
      <rgbColor rgb="FFFAFAF7"/>
      <rgbColor rgb="FFFAFAF6"/>
      <rgbColor rgb="FFF3F2EE"/>
      <rgbColor rgb="FFF2A93B"/>
      <rgbColor rgb="FFC8553D"/>
      <rgbColor rgb="FF5B6375"/>
      <rgbColor rgb="FF8A90A0"/>
      <rgbColor rgb="FF1B2740"/>
      <rgbColor rgb="FF339966"/>
      <rgbColor rgb="FF003300"/>
      <rgbColor rgb="FF4D5770"/>
      <rgbColor rgb="FFC0392B"/>
      <rgbColor rgb="FF993366"/>
      <rgbColor rgb="FF2D3A57"/>
      <rgbColor rgb="FF26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7</xdr:row>
      <xdr:rowOff>0</xdr:rowOff>
    </xdr:from>
    <xdr:to>
      <xdr:col>0</xdr:col>
      <xdr:colOff>2666520</xdr:colOff>
      <xdr:row>7</xdr:row>
      <xdr:rowOff>1780920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2666520</xdr:colOff>
      <xdr:row>7</xdr:row>
      <xdr:rowOff>1780920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281952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2666520</xdr:colOff>
      <xdr:row>7</xdr:row>
      <xdr:rowOff>1780920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5638680" y="304812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2666520</xdr:colOff>
      <xdr:row>11</xdr:row>
      <xdr:rowOff>1780920</xdr:rowOff>
    </xdr:to>
    <xdr:pic>
      <xdr:nvPicPr>
        <xdr:cNvPr id="3" name="Image 4" descr="Picture"/>
        <xdr:cNvPicPr/>
      </xdr:nvPicPr>
      <xdr:blipFill>
        <a:blip r:embed="rId4"/>
        <a:stretch/>
      </xdr:blipFill>
      <xdr:spPr>
        <a:xfrm>
          <a:off x="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2666520</xdr:colOff>
      <xdr:row>11</xdr:row>
      <xdr:rowOff>1780920</xdr:rowOff>
    </xdr:to>
    <xdr:pic>
      <xdr:nvPicPr>
        <xdr:cNvPr id="4" name="Image 5" descr="Picture"/>
        <xdr:cNvPicPr/>
      </xdr:nvPicPr>
      <xdr:blipFill>
        <a:blip r:embed="rId5"/>
        <a:stretch/>
      </xdr:blipFill>
      <xdr:spPr>
        <a:xfrm>
          <a:off x="281952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2666520</xdr:colOff>
      <xdr:row>11</xdr:row>
      <xdr:rowOff>1780920</xdr:rowOff>
    </xdr:to>
    <xdr:pic>
      <xdr:nvPicPr>
        <xdr:cNvPr id="5" name="Image 6" descr="Picture"/>
        <xdr:cNvPicPr/>
      </xdr:nvPicPr>
      <xdr:blipFill>
        <a:blip r:embed="rId6"/>
        <a:stretch/>
      </xdr:blipFill>
      <xdr:spPr>
        <a:xfrm>
          <a:off x="5638680" y="604836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2666520</xdr:colOff>
      <xdr:row>15</xdr:row>
      <xdr:rowOff>1780920</xdr:rowOff>
    </xdr:to>
    <xdr:pic>
      <xdr:nvPicPr>
        <xdr:cNvPr id="6" name="Image 7" descr="Picture"/>
        <xdr:cNvPicPr/>
      </xdr:nvPicPr>
      <xdr:blipFill>
        <a:blip r:embed="rId7"/>
        <a:stretch/>
      </xdr:blipFill>
      <xdr:spPr>
        <a:xfrm>
          <a:off x="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2666520</xdr:colOff>
      <xdr:row>15</xdr:row>
      <xdr:rowOff>1780920</xdr:rowOff>
    </xdr:to>
    <xdr:pic>
      <xdr:nvPicPr>
        <xdr:cNvPr id="7" name="Image 8" descr="Picture"/>
        <xdr:cNvPicPr/>
      </xdr:nvPicPr>
      <xdr:blipFill>
        <a:blip r:embed="rId8"/>
        <a:stretch/>
      </xdr:blipFill>
      <xdr:spPr>
        <a:xfrm>
          <a:off x="281952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2666520</xdr:colOff>
      <xdr:row>15</xdr:row>
      <xdr:rowOff>1780920</xdr:rowOff>
    </xdr:to>
    <xdr:pic>
      <xdr:nvPicPr>
        <xdr:cNvPr id="8" name="Image 9" descr="Picture"/>
        <xdr:cNvPicPr/>
      </xdr:nvPicPr>
      <xdr:blipFill>
        <a:blip r:embed="rId9"/>
        <a:stretch/>
      </xdr:blipFill>
      <xdr:spPr>
        <a:xfrm>
          <a:off x="5638680" y="90486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2666520</xdr:colOff>
      <xdr:row>19</xdr:row>
      <xdr:rowOff>1780920</xdr:rowOff>
    </xdr:to>
    <xdr:pic>
      <xdr:nvPicPr>
        <xdr:cNvPr id="9" name="Image 10" descr="Picture"/>
        <xdr:cNvPicPr/>
      </xdr:nvPicPr>
      <xdr:blipFill>
        <a:blip r:embed="rId10"/>
        <a:stretch/>
      </xdr:blipFill>
      <xdr:spPr>
        <a:xfrm>
          <a:off x="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2666520</xdr:colOff>
      <xdr:row>19</xdr:row>
      <xdr:rowOff>1780920</xdr:rowOff>
    </xdr:to>
    <xdr:pic>
      <xdr:nvPicPr>
        <xdr:cNvPr id="10" name="Image 11" descr="Picture"/>
        <xdr:cNvPicPr/>
      </xdr:nvPicPr>
      <xdr:blipFill>
        <a:blip r:embed="rId11"/>
        <a:stretch/>
      </xdr:blipFill>
      <xdr:spPr>
        <a:xfrm>
          <a:off x="281952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2666520</xdr:colOff>
      <xdr:row>19</xdr:row>
      <xdr:rowOff>1780920</xdr:rowOff>
    </xdr:to>
    <xdr:pic>
      <xdr:nvPicPr>
        <xdr:cNvPr id="11" name="Image 12" descr="Picture"/>
        <xdr:cNvPicPr/>
      </xdr:nvPicPr>
      <xdr:blipFill>
        <a:blip r:embed="rId12"/>
        <a:stretch/>
      </xdr:blipFill>
      <xdr:spPr>
        <a:xfrm>
          <a:off x="5638680" y="1204920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2666520</xdr:colOff>
      <xdr:row>23</xdr:row>
      <xdr:rowOff>1780920</xdr:rowOff>
    </xdr:to>
    <xdr:pic>
      <xdr:nvPicPr>
        <xdr:cNvPr id="12" name="Image 13" descr="Picture"/>
        <xdr:cNvPicPr/>
      </xdr:nvPicPr>
      <xdr:blipFill>
        <a:blip r:embed="rId13"/>
        <a:stretch/>
      </xdr:blipFill>
      <xdr:spPr>
        <a:xfrm>
          <a:off x="0" y="15049440"/>
          <a:ext cx="2666520" cy="1780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kise-plan.xlsx" TargetMode="External"/><Relationship Id="rId2" Type="http://schemas.openxmlformats.org/officeDocument/2006/relationships/hyperlink" Target="makise-plan.xlsx" TargetMode="External"/><Relationship Id="rId3" Type="http://schemas.openxmlformats.org/officeDocument/2006/relationships/hyperlink" Target="makise-plan.xlsx" TargetMode="External"/><Relationship Id="rId4" Type="http://schemas.openxmlformats.org/officeDocument/2006/relationships/hyperlink" Target="makise-plan.xlsx" TargetMode="External"/><Relationship Id="rId5" Type="http://schemas.openxmlformats.org/officeDocument/2006/relationships/hyperlink" Target="makise-plan.xlsx" TargetMode="External"/><Relationship Id="rId6" Type="http://schemas.openxmlformats.org/officeDocument/2006/relationships/hyperlink" Target="makise-plan.xlsx" TargetMode="External"/><Relationship Id="rId7" Type="http://schemas.openxmlformats.org/officeDocument/2006/relationships/hyperlink" Target="makise-plan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6"/>
    <col collapsed="false" customWidth="true" hidden="false" outlineLevel="0" max="4" min="4" style="1" width="12"/>
    <col collapsed="false" customWidth="true" hidden="false" outlineLevel="0" max="5" min="5" style="1" width="34"/>
    <col collapsed="false" customWidth="true" hidden="false" outlineLevel="0" max="6" min="6" style="1" width="3"/>
    <col collapsed="false" customWidth="true" hidden="false" outlineLevel="0" max="7" min="7" style="1" width="16"/>
    <col collapsed="false" customWidth="true" hidden="false" outlineLevel="0" max="8" min="8" style="1" width="14"/>
    <col collapsed="false" customWidth="true" hidden="false" outlineLevel="0" max="9" min="9" style="1" width="3"/>
  </cols>
  <sheetData>
    <row r="1" customFormat="false" ht="9.75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A3" s="2"/>
      <c r="B3" s="3" t="s">
        <v>0</v>
      </c>
      <c r="C3" s="2"/>
      <c r="D3" s="2"/>
      <c r="E3" s="2"/>
      <c r="F3" s="2"/>
      <c r="G3" s="2"/>
      <c r="H3" s="2"/>
      <c r="I3" s="2"/>
    </row>
    <row r="4" customFormat="false" ht="43.5" hidden="false" customHeight="true" outlineLevel="0" collapsed="false">
      <c r="A4" s="2"/>
      <c r="B4" s="4" t="s">
        <v>1</v>
      </c>
      <c r="C4" s="2"/>
      <c r="D4" s="2"/>
      <c r="E4" s="2"/>
      <c r="F4" s="2"/>
      <c r="G4" s="2"/>
      <c r="H4" s="2"/>
      <c r="I4" s="2"/>
    </row>
    <row r="5" customFormat="false" ht="16.5" hidden="false" customHeight="true" outlineLevel="0" collapsed="false">
      <c r="A5" s="2"/>
      <c r="B5" s="5" t="s">
        <v>2</v>
      </c>
      <c r="C5" s="2"/>
      <c r="D5" s="2"/>
      <c r="E5" s="2"/>
      <c r="F5" s="2"/>
      <c r="G5" s="2"/>
      <c r="H5" s="2"/>
      <c r="I5" s="2"/>
    </row>
    <row r="6" customFormat="false" ht="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8.75" hidden="false" customHeight="true" outlineLevel="0" collapsed="false">
      <c r="A7" s="2"/>
      <c r="B7" s="6" t="str">
        <f aca="false">"制作期間　"&amp;TEXT(制作工程表!$B$4,"yyyy/m/d")&amp;" 〜 "&amp;TEXT(制作工程表!$H$31,"yyyy/m/d")&amp;"（約"&amp;ROUNDUP((制作工程表!$H$31-制作工程表!$B$4+1)/7,0)&amp;"週間）"</f>
        <v>制作期間　2026/11/2 〜 2027/3/5（約18週間）</v>
      </c>
      <c r="C7" s="2"/>
      <c r="D7" s="2"/>
      <c r="E7" s="2"/>
      <c r="F7" s="2"/>
      <c r="G7" s="2"/>
      <c r="H7" s="2"/>
      <c r="I7" s="2"/>
    </row>
    <row r="8" customFormat="false" ht="30" hidden="false" customHeight="true" outlineLevel="0" collapsed="false">
      <c r="A8" s="2"/>
      <c r="B8" s="7" t="s">
        <v>3</v>
      </c>
      <c r="C8" s="7"/>
      <c r="D8" s="7"/>
      <c r="E8" s="7"/>
      <c r="F8" s="7"/>
      <c r="G8" s="7"/>
      <c r="H8" s="7"/>
      <c r="I8" s="2"/>
    </row>
    <row r="9" customFormat="false" ht="4.5" hidden="false" customHeight="true" outlineLevel="0" collapsed="false">
      <c r="A9" s="8"/>
      <c r="B9" s="8"/>
      <c r="C9" s="8"/>
      <c r="D9" s="8"/>
      <c r="E9" s="8"/>
      <c r="F9" s="8"/>
      <c r="G9" s="8"/>
      <c r="H9" s="8"/>
      <c r="I9" s="8"/>
    </row>
    <row r="11" customFormat="false" ht="25.5" hidden="false" customHeight="true" outlineLevel="0" collapsed="false">
      <c r="B11" s="9" t="s">
        <v>4</v>
      </c>
      <c r="G11" s="9" t="s">
        <v>5</v>
      </c>
    </row>
    <row r="12" customFormat="false" ht="25.5" hidden="false" customHeight="true" outlineLevel="0" collapsed="false">
      <c r="B12" s="10" t="s">
        <v>6</v>
      </c>
      <c r="C12" s="10" t="s">
        <v>7</v>
      </c>
      <c r="D12" s="10" t="s">
        <v>8</v>
      </c>
      <c r="E12" s="10" t="s">
        <v>9</v>
      </c>
      <c r="G12" s="10" t="s">
        <v>10</v>
      </c>
      <c r="H12" s="10" t="s">
        <v>11</v>
      </c>
    </row>
    <row r="13" customFormat="false" ht="25.5" hidden="false" customHeight="true" outlineLevel="0" collapsed="false">
      <c r="B13" s="11" t="s">
        <v>12</v>
      </c>
      <c r="C13" s="12" t="n">
        <f aca="false">制作工程表!$G$9</f>
        <v>46328</v>
      </c>
      <c r="D13" s="13" t="s">
        <v>13</v>
      </c>
      <c r="E13" s="14" t="s">
        <v>14</v>
      </c>
      <c r="G13" s="11" t="s">
        <v>15</v>
      </c>
      <c r="H13" s="15" t="n">
        <f aca="false">COUNTA(制作工程表!$K$9:$K$31)</f>
        <v>23</v>
      </c>
    </row>
    <row r="14" customFormat="false" ht="25.5" hidden="false" customHeight="true" outlineLevel="0" collapsed="false">
      <c r="B14" s="11" t="s">
        <v>16</v>
      </c>
      <c r="C14" s="12" t="n">
        <f aca="false">制作工程表!$I$13</f>
        <v>46365</v>
      </c>
      <c r="D14" s="16" t="s">
        <v>17</v>
      </c>
      <c r="E14" s="14" t="s">
        <v>18</v>
      </c>
      <c r="G14" s="14" t="s">
        <v>19</v>
      </c>
      <c r="H14" s="17" t="n">
        <f aca="false">COUNTIF(制作工程表!$K$9:$K$31,"完了")</f>
        <v>0</v>
      </c>
    </row>
    <row r="15" customFormat="false" ht="25.5" hidden="false" customHeight="true" outlineLevel="0" collapsed="false">
      <c r="B15" s="11" t="s">
        <v>20</v>
      </c>
      <c r="C15" s="12" t="n">
        <f aca="false">制作工程表!$E$4</f>
        <v>46377</v>
      </c>
      <c r="D15" s="18" t="s">
        <v>21</v>
      </c>
      <c r="E15" s="14" t="s">
        <v>22</v>
      </c>
      <c r="G15" s="14" t="s">
        <v>23</v>
      </c>
      <c r="H15" s="17" t="n">
        <f aca="false">COUNTIF(制作工程表!$K$9:$K$31,"進行中")</f>
        <v>0</v>
      </c>
    </row>
    <row r="16" customFormat="false" ht="25.5" hidden="false" customHeight="true" outlineLevel="0" collapsed="false">
      <c r="B16" s="11" t="s">
        <v>24</v>
      </c>
      <c r="C16" s="12" t="n">
        <f aca="false">制作工程表!$H$4</f>
        <v>46378</v>
      </c>
      <c r="D16" s="18" t="s">
        <v>21</v>
      </c>
      <c r="E16" s="14" t="s">
        <v>25</v>
      </c>
      <c r="G16" s="14" t="s">
        <v>26</v>
      </c>
      <c r="H16" s="17" t="n">
        <f aca="false">COUNTIF(制作工程表!$K$9:$K$31,"確認待ち")</f>
        <v>0</v>
      </c>
    </row>
    <row r="17" customFormat="false" ht="25.5" hidden="false" customHeight="true" outlineLevel="0" collapsed="false">
      <c r="B17" s="11" t="s">
        <v>27</v>
      </c>
      <c r="C17" s="12" t="n">
        <f aca="false">制作工程表!$I$22</f>
        <v>46408</v>
      </c>
      <c r="D17" s="16" t="s">
        <v>17</v>
      </c>
      <c r="E17" s="14" t="s">
        <v>28</v>
      </c>
      <c r="G17" s="14" t="s">
        <v>29</v>
      </c>
      <c r="H17" s="17" t="n">
        <f aca="false">COUNTIF(制作工程表!$K$9:$K$31,"要調整")</f>
        <v>0</v>
      </c>
    </row>
    <row r="18" customFormat="false" ht="25.5" hidden="false" customHeight="true" outlineLevel="0" collapsed="false">
      <c r="B18" s="11" t="s">
        <v>30</v>
      </c>
      <c r="C18" s="12" t="n">
        <f aca="false">制作工程表!$I$25</f>
        <v>46413</v>
      </c>
      <c r="D18" s="16" t="s">
        <v>17</v>
      </c>
      <c r="E18" s="14" t="s">
        <v>31</v>
      </c>
      <c r="G18" s="14" t="s">
        <v>32</v>
      </c>
      <c r="H18" s="17" t="n">
        <f aca="false">COUNTIF(制作工程表!$K$9:$K$31,"未着手")</f>
        <v>23</v>
      </c>
    </row>
    <row r="19" customFormat="false" ht="31.5" hidden="false" customHeight="true" outlineLevel="0" collapsed="false">
      <c r="B19" s="11" t="s">
        <v>33</v>
      </c>
      <c r="C19" s="12" t="n">
        <f aca="false">制作工程表!$I$29</f>
        <v>46448</v>
      </c>
      <c r="D19" s="16" t="s">
        <v>17</v>
      </c>
      <c r="E19" s="14" t="s">
        <v>34</v>
      </c>
      <c r="G19" s="19" t="s">
        <v>35</v>
      </c>
      <c r="H19" s="20" t="n">
        <f aca="false">IF(H13=0,0,H14/H13)</f>
        <v>0</v>
      </c>
    </row>
    <row r="20" customFormat="false" ht="25.5" hidden="false" customHeight="true" outlineLevel="0" collapsed="false">
      <c r="B20" s="11" t="s">
        <v>36</v>
      </c>
      <c r="C20" s="12" t="n">
        <f aca="false">制作工程表!$H$31</f>
        <v>46451</v>
      </c>
      <c r="D20" s="13" t="s">
        <v>13</v>
      </c>
      <c r="E20" s="14" t="s">
        <v>37</v>
      </c>
      <c r="G20" s="21" t="s">
        <v>38</v>
      </c>
    </row>
    <row r="23" customFormat="false" ht="25.5" hidden="false" customHeight="true" outlineLevel="0" collapsed="false">
      <c r="B23" s="9" t="s">
        <v>39</v>
      </c>
    </row>
    <row r="24" customFormat="false" ht="24" hidden="false" customHeight="true" outlineLevel="0" collapsed="false">
      <c r="B24" s="22" t="s">
        <v>40</v>
      </c>
      <c r="C24" s="23" t="s">
        <v>41</v>
      </c>
      <c r="D24" s="23"/>
      <c r="E24" s="23"/>
      <c r="F24" s="23"/>
      <c r="G24" s="23"/>
      <c r="H24" s="23"/>
    </row>
    <row r="25" customFormat="false" ht="24" hidden="false" customHeight="true" outlineLevel="0" collapsed="false">
      <c r="B25" s="22" t="s">
        <v>42</v>
      </c>
      <c r="C25" s="24" t="s">
        <v>43</v>
      </c>
      <c r="D25" s="24"/>
      <c r="E25" s="24"/>
      <c r="F25" s="24"/>
      <c r="G25" s="24"/>
      <c r="H25" s="24"/>
    </row>
    <row r="26" customFormat="false" ht="24" hidden="false" customHeight="true" outlineLevel="0" collapsed="false">
      <c r="B26" s="22" t="s">
        <v>44</v>
      </c>
      <c r="C26" s="23" t="s">
        <v>45</v>
      </c>
      <c r="D26" s="23"/>
      <c r="E26" s="23"/>
      <c r="F26" s="23"/>
      <c r="G26" s="23"/>
      <c r="H26" s="23"/>
    </row>
    <row r="27" customFormat="false" ht="24" hidden="false" customHeight="true" outlineLevel="0" collapsed="false">
      <c r="B27" s="22" t="s">
        <v>46</v>
      </c>
      <c r="C27" s="23" t="s">
        <v>47</v>
      </c>
      <c r="D27" s="23"/>
      <c r="E27" s="23"/>
      <c r="F27" s="23"/>
      <c r="G27" s="23"/>
      <c r="H27" s="23"/>
    </row>
    <row r="28" customFormat="false" ht="24" hidden="false" customHeight="true" outlineLevel="0" collapsed="false">
      <c r="B28" s="22" t="s">
        <v>48</v>
      </c>
      <c r="C28" s="23" t="s">
        <v>49</v>
      </c>
      <c r="D28" s="23"/>
      <c r="E28" s="23"/>
      <c r="F28" s="23"/>
      <c r="G28" s="23"/>
      <c r="H28" s="23"/>
    </row>
    <row r="29" customFormat="false" ht="24" hidden="false" customHeight="true" outlineLevel="0" collapsed="false">
      <c r="B29" s="22" t="s">
        <v>50</v>
      </c>
      <c r="C29" s="24" t="s">
        <v>51</v>
      </c>
      <c r="D29" s="24"/>
      <c r="E29" s="24"/>
      <c r="F29" s="24"/>
      <c r="G29" s="24"/>
      <c r="H29" s="24"/>
    </row>
    <row r="30" customFormat="false" ht="24" hidden="false" customHeight="true" outlineLevel="0" collapsed="false">
      <c r="B30" s="22" t="s">
        <v>52</v>
      </c>
      <c r="C30" s="23" t="s">
        <v>53</v>
      </c>
      <c r="D30" s="23"/>
      <c r="E30" s="23"/>
      <c r="F30" s="23"/>
      <c r="G30" s="23"/>
      <c r="H30" s="23"/>
    </row>
    <row r="32" customFormat="false" ht="25.5" hidden="false" customHeight="true" outlineLevel="0" collapsed="false">
      <c r="B32" s="9" t="s">
        <v>54</v>
      </c>
    </row>
    <row r="33" customFormat="false" ht="24" hidden="false" customHeight="true" outlineLevel="0" collapsed="false">
      <c r="B33" s="25" t="s">
        <v>13</v>
      </c>
      <c r="C33" s="26" t="s">
        <v>17</v>
      </c>
      <c r="D33" s="27" t="s">
        <v>55</v>
      </c>
      <c r="E33" s="28" t="s">
        <v>56</v>
      </c>
    </row>
    <row r="35" customFormat="false" ht="15" hidden="false" customHeight="true" outlineLevel="0" collapsed="false">
      <c r="B35" s="21" t="s">
        <v>57</v>
      </c>
    </row>
  </sheetData>
  <mergeCells count="8">
    <mergeCell ref="B8:H8"/>
    <mergeCell ref="C24:H24"/>
    <mergeCell ref="C25:H25"/>
    <mergeCell ref="C26:H26"/>
    <mergeCell ref="C27:H27"/>
    <mergeCell ref="C28:H28"/>
    <mergeCell ref="C29:H29"/>
    <mergeCell ref="C30:H30"/>
  </mergeCells>
  <hyperlinks>
    <hyperlink ref="B24" r:id="rId1" location="'スケジュール'!A1" display="スケジュール"/>
    <hyperlink ref="B25" r:id="rId2" location="'制作工程表'!A1" display="制作工程表"/>
    <hyperlink ref="B26" r:id="rId3" location="'撮影指示書'!A1" display="撮影指示書"/>
    <hyperlink ref="B27" r:id="rId4" location="'撮影香盤表'!A1" display="撮影香盤表"/>
    <hyperlink ref="B28" r:id="rId5" location="'事前準備・出演者'!A1" display="事前準備・出演者"/>
    <hyperlink ref="B29" r:id="rId6" location="'サイト構成'!A1" display="サイト構成"/>
    <hyperlink ref="B30" r:id="rId7" location="'写真カット見本'!A1" display="写真カット見本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EM4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11"/>
    <col collapsed="false" customWidth="true" hidden="false" outlineLevel="0" max="3" min="3" style="1" width="27"/>
    <col collapsed="false" customWidth="true" hidden="false" outlineLevel="0" max="4" min="4" style="1" width="20"/>
    <col collapsed="false" customWidth="true" hidden="false" outlineLevel="0" max="5" min="5" style="1" width="17"/>
    <col collapsed="false" customWidth="true" hidden="false" outlineLevel="0" max="6" min="6" style="1" width="6"/>
    <col collapsed="false" customWidth="true" hidden="false" outlineLevel="0" max="8" min="7" style="1" width="8"/>
    <col collapsed="false" customWidth="true" hidden="false" outlineLevel="0" max="9" min="9" style="1" width="9.52"/>
    <col collapsed="false" customWidth="true" hidden="false" outlineLevel="0" max="10" min="10" style="1" width="9"/>
    <col collapsed="false" customWidth="true" hidden="false" outlineLevel="0" max="94" min="11" style="1" width="3.1"/>
    <col collapsed="false" customWidth="true" hidden="false" outlineLevel="0" max="143" min="95" style="0" width="3.1"/>
  </cols>
  <sheetData>
    <row r="1" customFormat="false" ht="6" hidden="false" customHeight="true" outlineLevel="0" collapsed="false">
      <c r="A1" s="8"/>
      <c r="B1" s="8"/>
    </row>
    <row r="2" customFormat="false" ht="36" hidden="false" customHeight="true" outlineLevel="0" collapsed="false">
      <c r="A2" s="29" t="s">
        <v>58</v>
      </c>
    </row>
    <row r="3" customFormat="false" ht="18" hidden="false" customHeight="true" outlineLevel="0" collapsed="false">
      <c r="A3" s="30" t="s">
        <v>59</v>
      </c>
    </row>
    <row r="4" customFormat="false" ht="21.75" hidden="false" customHeight="true" outlineLevel="0" collapsed="false">
      <c r="A4" s="31" t="s">
        <v>13</v>
      </c>
      <c r="B4" s="31"/>
      <c r="C4" s="32" t="s">
        <v>60</v>
      </c>
      <c r="D4" s="32"/>
      <c r="E4" s="33" t="s">
        <v>61</v>
      </c>
      <c r="F4" s="33"/>
      <c r="G4" s="34" t="s">
        <v>62</v>
      </c>
      <c r="H4" s="34"/>
      <c r="I4" s="35" t="s">
        <v>63</v>
      </c>
      <c r="J4" s="36"/>
      <c r="K4" s="30" t="s">
        <v>64</v>
      </c>
    </row>
    <row r="6" customFormat="false" ht="21.75" hidden="false" customHeight="true" outlineLevel="0" collapsed="false">
      <c r="A6" s="37" t="s">
        <v>65</v>
      </c>
      <c r="B6" s="38" t="s">
        <v>66</v>
      </c>
      <c r="C6" s="38" t="s">
        <v>67</v>
      </c>
      <c r="D6" s="38" t="s">
        <v>68</v>
      </c>
      <c r="E6" s="38" t="s">
        <v>69</v>
      </c>
      <c r="F6" s="38" t="s">
        <v>70</v>
      </c>
      <c r="G6" s="38" t="s">
        <v>71</v>
      </c>
      <c r="H6" s="38" t="s">
        <v>19</v>
      </c>
      <c r="I6" s="38" t="s">
        <v>72</v>
      </c>
      <c r="J6" s="38" t="s">
        <v>10</v>
      </c>
      <c r="K6" s="39" t="str">
        <f aca="false">"第1週　"&amp;TEXT(K7,"m/d")&amp;"〜"</f>
        <v>第1週　11/2〜</v>
      </c>
      <c r="L6" s="39"/>
      <c r="M6" s="39"/>
      <c r="N6" s="39"/>
      <c r="O6" s="39"/>
      <c r="P6" s="39"/>
      <c r="Q6" s="39"/>
      <c r="R6" s="40" t="str">
        <f aca="false">"第2週　"&amp;TEXT(R7,"m/d")&amp;"〜"</f>
        <v>第2週　11/9〜</v>
      </c>
      <c r="S6" s="40"/>
      <c r="T6" s="40"/>
      <c r="U6" s="40"/>
      <c r="V6" s="40"/>
      <c r="W6" s="40"/>
      <c r="X6" s="40"/>
      <c r="Y6" s="39" t="str">
        <f aca="false">"第3週　"&amp;TEXT(Y7,"m/d")&amp;"〜"</f>
        <v>第3週　11/16〜</v>
      </c>
      <c r="Z6" s="39"/>
      <c r="AA6" s="39"/>
      <c r="AB6" s="39"/>
      <c r="AC6" s="39"/>
      <c r="AD6" s="39"/>
      <c r="AE6" s="39"/>
      <c r="AF6" s="40" t="str">
        <f aca="false">"第4週　"&amp;TEXT(AF7,"m/d")&amp;"〜"</f>
        <v>第4週　11/23〜</v>
      </c>
      <c r="AG6" s="40"/>
      <c r="AH6" s="40"/>
      <c r="AI6" s="40"/>
      <c r="AJ6" s="40"/>
      <c r="AK6" s="40"/>
      <c r="AL6" s="40"/>
      <c r="AM6" s="39" t="str">
        <f aca="false">"第5週　"&amp;TEXT(AM7,"m/d")&amp;"〜"</f>
        <v>第5週　11/30〜</v>
      </c>
      <c r="AN6" s="39"/>
      <c r="AO6" s="39"/>
      <c r="AP6" s="39"/>
      <c r="AQ6" s="39"/>
      <c r="AR6" s="39"/>
      <c r="AS6" s="39"/>
      <c r="AT6" s="40" t="str">
        <f aca="false">"第6週　"&amp;TEXT(AT7,"m/d")&amp;"〜"</f>
        <v>第6週　12/7〜</v>
      </c>
      <c r="AU6" s="40"/>
      <c r="AV6" s="40"/>
      <c r="AW6" s="40"/>
      <c r="AX6" s="40"/>
      <c r="AY6" s="40"/>
      <c r="AZ6" s="40"/>
      <c r="BA6" s="39" t="str">
        <f aca="false">"第7週　"&amp;TEXT(BA7,"m/d")&amp;"〜"</f>
        <v>第7週　12/14〜</v>
      </c>
      <c r="BB6" s="39"/>
      <c r="BC6" s="39"/>
      <c r="BD6" s="39"/>
      <c r="BE6" s="39"/>
      <c r="BF6" s="39"/>
      <c r="BG6" s="39"/>
      <c r="BH6" s="40" t="str">
        <f aca="false">"第8週　"&amp;TEXT(BH7,"m/d")&amp;"〜"</f>
        <v>第8週　12/21〜</v>
      </c>
      <c r="BI6" s="40"/>
      <c r="BJ6" s="40"/>
      <c r="BK6" s="40"/>
      <c r="BL6" s="40"/>
      <c r="BM6" s="40"/>
      <c r="BN6" s="40"/>
      <c r="BO6" s="39" t="str">
        <f aca="false">"第9週　"&amp;TEXT(BO7,"m/d")&amp;"〜"</f>
        <v>第9週　12/28〜</v>
      </c>
      <c r="BP6" s="39"/>
      <c r="BQ6" s="39"/>
      <c r="BR6" s="39"/>
      <c r="BS6" s="39"/>
      <c r="BT6" s="39"/>
      <c r="BU6" s="39"/>
      <c r="BV6" s="40" t="str">
        <f aca="false">"第10週　"&amp;TEXT(BV7,"m/d")&amp;"〜"</f>
        <v>第10週　1/4〜</v>
      </c>
      <c r="BW6" s="40"/>
      <c r="BX6" s="40"/>
      <c r="BY6" s="40"/>
      <c r="BZ6" s="40"/>
      <c r="CA6" s="40"/>
      <c r="CB6" s="40"/>
      <c r="CC6" s="39" t="str">
        <f aca="false">"第11週　"&amp;TEXT(CC7,"m/d")&amp;"〜"</f>
        <v>第11週　1/11〜</v>
      </c>
      <c r="CD6" s="39"/>
      <c r="CE6" s="39"/>
      <c r="CF6" s="39"/>
      <c r="CG6" s="39"/>
      <c r="CH6" s="39"/>
      <c r="CI6" s="39"/>
      <c r="CJ6" s="40" t="str">
        <f aca="false">"第12週　"&amp;TEXT(CJ7,"m/d")&amp;"〜"</f>
        <v>第12週　1/18〜</v>
      </c>
      <c r="CK6" s="40"/>
      <c r="CL6" s="40"/>
      <c r="CM6" s="40"/>
      <c r="CN6" s="40"/>
      <c r="CO6" s="40"/>
      <c r="CP6" s="40"/>
      <c r="CQ6" s="40" t="str">
        <f aca="false">"第13週　"&amp;TEXT(CQ7,"m/d")&amp;"〜"</f>
        <v>第13週　1/25〜</v>
      </c>
      <c r="CR6" s="40"/>
      <c r="CS6" s="40"/>
      <c r="CT6" s="40"/>
      <c r="CU6" s="40"/>
      <c r="CV6" s="40"/>
      <c r="CW6" s="40"/>
      <c r="CX6" s="40" t="str">
        <f aca="false">"第14週　"&amp;TEXT(CX7,"m/d")&amp;"〜"</f>
        <v>第14週　2/1〜</v>
      </c>
      <c r="CY6" s="40"/>
      <c r="CZ6" s="40"/>
      <c r="DA6" s="40"/>
      <c r="DB6" s="40"/>
      <c r="DC6" s="40"/>
      <c r="DD6" s="40"/>
      <c r="DE6" s="40" t="str">
        <f aca="false">"第15週　"&amp;TEXT(DE7,"m/d")&amp;"〜"</f>
        <v>第15週　2/8〜</v>
      </c>
      <c r="DF6" s="40"/>
      <c r="DG6" s="40"/>
      <c r="DH6" s="40"/>
      <c r="DI6" s="40"/>
      <c r="DJ6" s="40"/>
      <c r="DK6" s="40"/>
      <c r="DL6" s="40" t="str">
        <f aca="false">"第16週　"&amp;TEXT(DL7,"m/d")&amp;"〜"</f>
        <v>第16週　2/15〜</v>
      </c>
      <c r="DM6" s="40"/>
      <c r="DN6" s="40"/>
      <c r="DO6" s="40"/>
      <c r="DP6" s="40"/>
      <c r="DQ6" s="40"/>
      <c r="DR6" s="40"/>
      <c r="DS6" s="40" t="str">
        <f aca="false">"第17週　"&amp;TEXT(DS7,"m/d")&amp;"〜"</f>
        <v>第17週　2/22〜</v>
      </c>
      <c r="DT6" s="40"/>
      <c r="DU6" s="40"/>
      <c r="DV6" s="40"/>
      <c r="DW6" s="40"/>
      <c r="DX6" s="40"/>
      <c r="DY6" s="40"/>
      <c r="DZ6" s="40" t="str">
        <f aca="false">"第18週　"&amp;TEXT(DZ7,"m/d")&amp;"〜"</f>
        <v>第18週　3/1〜</v>
      </c>
      <c r="EA6" s="40"/>
      <c r="EB6" s="40"/>
      <c r="EC6" s="40"/>
      <c r="ED6" s="40"/>
      <c r="EE6" s="40"/>
      <c r="EF6" s="40"/>
      <c r="EG6" s="40" t="str">
        <f aca="false">"第19週　"&amp;TEXT(EG7,"m/d")&amp;"〜"</f>
        <v>第19週　3/8〜</v>
      </c>
      <c r="EH6" s="40"/>
      <c r="EI6" s="40"/>
      <c r="EJ6" s="40"/>
      <c r="EK6" s="40"/>
      <c r="EL6" s="40"/>
      <c r="EM6" s="40"/>
    </row>
    <row r="7" customFormat="false" ht="18" hidden="false" customHeight="true" outlineLevel="0" collapsed="false">
      <c r="A7" s="37"/>
      <c r="B7" s="37"/>
      <c r="C7" s="37"/>
      <c r="D7" s="37"/>
      <c r="E7" s="37"/>
      <c r="F7" s="37"/>
      <c r="G7" s="37"/>
      <c r="H7" s="37"/>
      <c r="I7" s="37"/>
      <c r="J7" s="37"/>
      <c r="K7" s="41" t="n">
        <f aca="false">制作工程表!$B$4+0</f>
        <v>46328</v>
      </c>
      <c r="L7" s="41" t="n">
        <f aca="false">制作工程表!$B$4+1</f>
        <v>46329</v>
      </c>
      <c r="M7" s="41" t="n">
        <f aca="false">制作工程表!$B$4+2</f>
        <v>46330</v>
      </c>
      <c r="N7" s="41" t="n">
        <f aca="false">制作工程表!$B$4+3</f>
        <v>46331</v>
      </c>
      <c r="O7" s="41" t="n">
        <f aca="false">制作工程表!$B$4+4</f>
        <v>46332</v>
      </c>
      <c r="P7" s="41" t="n">
        <f aca="false">制作工程表!$B$4+5</f>
        <v>46333</v>
      </c>
      <c r="Q7" s="41" t="n">
        <f aca="false">制作工程表!$B$4+6</f>
        <v>46334</v>
      </c>
      <c r="R7" s="41" t="n">
        <f aca="false">制作工程表!$B$4+7</f>
        <v>46335</v>
      </c>
      <c r="S7" s="41" t="n">
        <f aca="false">制作工程表!$B$4+8</f>
        <v>46336</v>
      </c>
      <c r="T7" s="41" t="n">
        <f aca="false">制作工程表!$B$4+9</f>
        <v>46337</v>
      </c>
      <c r="U7" s="41" t="n">
        <f aca="false">制作工程表!$B$4+10</f>
        <v>46338</v>
      </c>
      <c r="V7" s="41" t="n">
        <f aca="false">制作工程表!$B$4+11</f>
        <v>46339</v>
      </c>
      <c r="W7" s="41" t="n">
        <f aca="false">制作工程表!$B$4+12</f>
        <v>46340</v>
      </c>
      <c r="X7" s="41" t="n">
        <f aca="false">制作工程表!$B$4+13</f>
        <v>46341</v>
      </c>
      <c r="Y7" s="41" t="n">
        <f aca="false">制作工程表!$B$4+14</f>
        <v>46342</v>
      </c>
      <c r="Z7" s="41" t="n">
        <f aca="false">制作工程表!$B$4+15</f>
        <v>46343</v>
      </c>
      <c r="AA7" s="41" t="n">
        <f aca="false">制作工程表!$B$4+16</f>
        <v>46344</v>
      </c>
      <c r="AB7" s="41" t="n">
        <f aca="false">制作工程表!$B$4+17</f>
        <v>46345</v>
      </c>
      <c r="AC7" s="41" t="n">
        <f aca="false">制作工程表!$B$4+18</f>
        <v>46346</v>
      </c>
      <c r="AD7" s="41" t="n">
        <f aca="false">制作工程表!$B$4+19</f>
        <v>46347</v>
      </c>
      <c r="AE7" s="41" t="n">
        <f aca="false">制作工程表!$B$4+20</f>
        <v>46348</v>
      </c>
      <c r="AF7" s="41" t="n">
        <f aca="false">制作工程表!$B$4+21</f>
        <v>46349</v>
      </c>
      <c r="AG7" s="41" t="n">
        <f aca="false">制作工程表!$B$4+22</f>
        <v>46350</v>
      </c>
      <c r="AH7" s="41" t="n">
        <f aca="false">制作工程表!$B$4+23</f>
        <v>46351</v>
      </c>
      <c r="AI7" s="41" t="n">
        <f aca="false">制作工程表!$B$4+24</f>
        <v>46352</v>
      </c>
      <c r="AJ7" s="41" t="n">
        <f aca="false">制作工程表!$B$4+25</f>
        <v>46353</v>
      </c>
      <c r="AK7" s="41" t="n">
        <f aca="false">制作工程表!$B$4+26</f>
        <v>46354</v>
      </c>
      <c r="AL7" s="41" t="n">
        <f aca="false">制作工程表!$B$4+27</f>
        <v>46355</v>
      </c>
      <c r="AM7" s="41" t="n">
        <f aca="false">制作工程表!$B$4+28</f>
        <v>46356</v>
      </c>
      <c r="AN7" s="41" t="n">
        <f aca="false">制作工程表!$B$4+29</f>
        <v>46357</v>
      </c>
      <c r="AO7" s="41" t="n">
        <f aca="false">制作工程表!$B$4+30</f>
        <v>46358</v>
      </c>
      <c r="AP7" s="41" t="n">
        <f aca="false">制作工程表!$B$4+31</f>
        <v>46359</v>
      </c>
      <c r="AQ7" s="41" t="n">
        <f aca="false">制作工程表!$B$4+32</f>
        <v>46360</v>
      </c>
      <c r="AR7" s="41" t="n">
        <f aca="false">制作工程表!$B$4+33</f>
        <v>46361</v>
      </c>
      <c r="AS7" s="41" t="n">
        <f aca="false">制作工程表!$B$4+34</f>
        <v>46362</v>
      </c>
      <c r="AT7" s="41" t="n">
        <f aca="false">制作工程表!$B$4+35</f>
        <v>46363</v>
      </c>
      <c r="AU7" s="41" t="n">
        <f aca="false">制作工程表!$B$4+36</f>
        <v>46364</v>
      </c>
      <c r="AV7" s="41" t="n">
        <f aca="false">制作工程表!$B$4+37</f>
        <v>46365</v>
      </c>
      <c r="AW7" s="41" t="n">
        <f aca="false">制作工程表!$B$4+38</f>
        <v>46366</v>
      </c>
      <c r="AX7" s="41" t="n">
        <f aca="false">制作工程表!$B$4+39</f>
        <v>46367</v>
      </c>
      <c r="AY7" s="41" t="n">
        <f aca="false">制作工程表!$B$4+40</f>
        <v>46368</v>
      </c>
      <c r="AZ7" s="41" t="n">
        <f aca="false">制作工程表!$B$4+41</f>
        <v>46369</v>
      </c>
      <c r="BA7" s="41" t="n">
        <f aca="false">制作工程表!$B$4+42</f>
        <v>46370</v>
      </c>
      <c r="BB7" s="41" t="n">
        <f aca="false">制作工程表!$B$4+43</f>
        <v>46371</v>
      </c>
      <c r="BC7" s="41" t="n">
        <f aca="false">制作工程表!$B$4+44</f>
        <v>46372</v>
      </c>
      <c r="BD7" s="41" t="n">
        <f aca="false">制作工程表!$B$4+45</f>
        <v>46373</v>
      </c>
      <c r="BE7" s="41" t="n">
        <f aca="false">制作工程表!$B$4+46</f>
        <v>46374</v>
      </c>
      <c r="BF7" s="41" t="n">
        <f aca="false">制作工程表!$B$4+47</f>
        <v>46375</v>
      </c>
      <c r="BG7" s="41" t="n">
        <f aca="false">制作工程表!$B$4+48</f>
        <v>46376</v>
      </c>
      <c r="BH7" s="41" t="n">
        <f aca="false">制作工程表!$B$4+49</f>
        <v>46377</v>
      </c>
      <c r="BI7" s="41" t="n">
        <f aca="false">制作工程表!$B$4+50</f>
        <v>46378</v>
      </c>
      <c r="BJ7" s="41" t="n">
        <f aca="false">制作工程表!$B$4+51</f>
        <v>46379</v>
      </c>
      <c r="BK7" s="41" t="n">
        <f aca="false">制作工程表!$B$4+52</f>
        <v>46380</v>
      </c>
      <c r="BL7" s="41" t="n">
        <f aca="false">制作工程表!$B$4+53</f>
        <v>46381</v>
      </c>
      <c r="BM7" s="41" t="n">
        <f aca="false">制作工程表!$B$4+54</f>
        <v>46382</v>
      </c>
      <c r="BN7" s="41" t="n">
        <f aca="false">制作工程表!$B$4+55</f>
        <v>46383</v>
      </c>
      <c r="BO7" s="41" t="n">
        <f aca="false">制作工程表!$B$4+56</f>
        <v>46384</v>
      </c>
      <c r="BP7" s="41" t="n">
        <f aca="false">制作工程表!$B$4+57</f>
        <v>46385</v>
      </c>
      <c r="BQ7" s="41" t="n">
        <f aca="false">制作工程表!$B$4+58</f>
        <v>46386</v>
      </c>
      <c r="BR7" s="41" t="n">
        <f aca="false">制作工程表!$B$4+59</f>
        <v>46387</v>
      </c>
      <c r="BS7" s="41" t="n">
        <f aca="false">制作工程表!$B$4+60</f>
        <v>46388</v>
      </c>
      <c r="BT7" s="41" t="n">
        <f aca="false">制作工程表!$B$4+61</f>
        <v>46389</v>
      </c>
      <c r="BU7" s="41" t="n">
        <f aca="false">制作工程表!$B$4+62</f>
        <v>46390</v>
      </c>
      <c r="BV7" s="41" t="n">
        <f aca="false">制作工程表!$B$4+63</f>
        <v>46391</v>
      </c>
      <c r="BW7" s="41" t="n">
        <f aca="false">制作工程表!$B$4+64</f>
        <v>46392</v>
      </c>
      <c r="BX7" s="41" t="n">
        <f aca="false">制作工程表!$B$4+65</f>
        <v>46393</v>
      </c>
      <c r="BY7" s="41" t="n">
        <f aca="false">制作工程表!$B$4+66</f>
        <v>46394</v>
      </c>
      <c r="BZ7" s="41" t="n">
        <f aca="false">制作工程表!$B$4+67</f>
        <v>46395</v>
      </c>
      <c r="CA7" s="41" t="n">
        <f aca="false">制作工程表!$B$4+68</f>
        <v>46396</v>
      </c>
      <c r="CB7" s="41" t="n">
        <f aca="false">制作工程表!$B$4+69</f>
        <v>46397</v>
      </c>
      <c r="CC7" s="41" t="n">
        <f aca="false">制作工程表!$B$4+70</f>
        <v>46398</v>
      </c>
      <c r="CD7" s="41" t="n">
        <f aca="false">制作工程表!$B$4+71</f>
        <v>46399</v>
      </c>
      <c r="CE7" s="41" t="n">
        <f aca="false">制作工程表!$B$4+72</f>
        <v>46400</v>
      </c>
      <c r="CF7" s="41" t="n">
        <f aca="false">制作工程表!$B$4+73</f>
        <v>46401</v>
      </c>
      <c r="CG7" s="41" t="n">
        <f aca="false">制作工程表!$B$4+74</f>
        <v>46402</v>
      </c>
      <c r="CH7" s="41" t="n">
        <f aca="false">制作工程表!$B$4+75</f>
        <v>46403</v>
      </c>
      <c r="CI7" s="41" t="n">
        <f aca="false">制作工程表!$B$4+76</f>
        <v>46404</v>
      </c>
      <c r="CJ7" s="41" t="n">
        <f aca="false">制作工程表!$B$4+77</f>
        <v>46405</v>
      </c>
      <c r="CK7" s="41" t="n">
        <f aca="false">制作工程表!$B$4+78</f>
        <v>46406</v>
      </c>
      <c r="CL7" s="41" t="n">
        <f aca="false">制作工程表!$B$4+79</f>
        <v>46407</v>
      </c>
      <c r="CM7" s="41" t="n">
        <f aca="false">制作工程表!$B$4+80</f>
        <v>46408</v>
      </c>
      <c r="CN7" s="41" t="n">
        <f aca="false">制作工程表!$B$4+81</f>
        <v>46409</v>
      </c>
      <c r="CO7" s="41" t="n">
        <f aca="false">制作工程表!$B$4+82</f>
        <v>46410</v>
      </c>
      <c r="CP7" s="41" t="n">
        <f aca="false">制作工程表!$B$4+83</f>
        <v>46411</v>
      </c>
      <c r="CQ7" s="41" t="n">
        <f aca="false">制作工程表!$B$4+84</f>
        <v>46412</v>
      </c>
      <c r="CR7" s="41" t="n">
        <f aca="false">制作工程表!$B$4+85</f>
        <v>46413</v>
      </c>
      <c r="CS7" s="41" t="n">
        <f aca="false">制作工程表!$B$4+86</f>
        <v>46414</v>
      </c>
      <c r="CT7" s="41" t="n">
        <f aca="false">制作工程表!$B$4+87</f>
        <v>46415</v>
      </c>
      <c r="CU7" s="41" t="n">
        <f aca="false">制作工程表!$B$4+88</f>
        <v>46416</v>
      </c>
      <c r="CV7" s="41" t="n">
        <f aca="false">制作工程表!$B$4+89</f>
        <v>46417</v>
      </c>
      <c r="CW7" s="41" t="n">
        <f aca="false">制作工程表!$B$4+90</f>
        <v>46418</v>
      </c>
      <c r="CX7" s="41" t="n">
        <f aca="false">制作工程表!$B$4+91</f>
        <v>46419</v>
      </c>
      <c r="CY7" s="41" t="n">
        <f aca="false">制作工程表!$B$4+92</f>
        <v>46420</v>
      </c>
      <c r="CZ7" s="41" t="n">
        <f aca="false">制作工程表!$B$4+93</f>
        <v>46421</v>
      </c>
      <c r="DA7" s="41" t="n">
        <f aca="false">制作工程表!$B$4+94</f>
        <v>46422</v>
      </c>
      <c r="DB7" s="41" t="n">
        <f aca="false">制作工程表!$B$4+95</f>
        <v>46423</v>
      </c>
      <c r="DC7" s="41" t="n">
        <f aca="false">制作工程表!$B$4+96</f>
        <v>46424</v>
      </c>
      <c r="DD7" s="41" t="n">
        <f aca="false">制作工程表!$B$4+97</f>
        <v>46425</v>
      </c>
      <c r="DE7" s="41" t="n">
        <f aca="false">制作工程表!$B$4+98</f>
        <v>46426</v>
      </c>
      <c r="DF7" s="41" t="n">
        <f aca="false">制作工程表!$B$4+99</f>
        <v>46427</v>
      </c>
      <c r="DG7" s="41" t="n">
        <f aca="false">制作工程表!$B$4+100</f>
        <v>46428</v>
      </c>
      <c r="DH7" s="41" t="n">
        <f aca="false">制作工程表!$B$4+101</f>
        <v>46429</v>
      </c>
      <c r="DI7" s="41" t="n">
        <f aca="false">制作工程表!$B$4+102</f>
        <v>46430</v>
      </c>
      <c r="DJ7" s="41" t="n">
        <f aca="false">制作工程表!$B$4+103</f>
        <v>46431</v>
      </c>
      <c r="DK7" s="41" t="n">
        <f aca="false">制作工程表!$B$4+104</f>
        <v>46432</v>
      </c>
      <c r="DL7" s="41" t="n">
        <f aca="false">制作工程表!$B$4+105</f>
        <v>46433</v>
      </c>
      <c r="DM7" s="41" t="n">
        <f aca="false">制作工程表!$B$4+106</f>
        <v>46434</v>
      </c>
      <c r="DN7" s="41" t="n">
        <f aca="false">制作工程表!$B$4+107</f>
        <v>46435</v>
      </c>
      <c r="DO7" s="41" t="n">
        <f aca="false">制作工程表!$B$4+108</f>
        <v>46436</v>
      </c>
      <c r="DP7" s="41" t="n">
        <f aca="false">制作工程表!$B$4+109</f>
        <v>46437</v>
      </c>
      <c r="DQ7" s="41" t="n">
        <f aca="false">制作工程表!$B$4+110</f>
        <v>46438</v>
      </c>
      <c r="DR7" s="41" t="n">
        <f aca="false">制作工程表!$B$4+111</f>
        <v>46439</v>
      </c>
      <c r="DS7" s="41" t="n">
        <f aca="false">制作工程表!$B$4+112</f>
        <v>46440</v>
      </c>
      <c r="DT7" s="41" t="n">
        <f aca="false">制作工程表!$B$4+113</f>
        <v>46441</v>
      </c>
      <c r="DU7" s="41" t="n">
        <f aca="false">制作工程表!$B$4+114</f>
        <v>46442</v>
      </c>
      <c r="DV7" s="41" t="n">
        <f aca="false">制作工程表!$B$4+115</f>
        <v>46443</v>
      </c>
      <c r="DW7" s="41" t="n">
        <f aca="false">制作工程表!$B$4+116</f>
        <v>46444</v>
      </c>
      <c r="DX7" s="41" t="n">
        <f aca="false">制作工程表!$B$4+117</f>
        <v>46445</v>
      </c>
      <c r="DY7" s="41" t="n">
        <f aca="false">制作工程表!$B$4+118</f>
        <v>46446</v>
      </c>
      <c r="DZ7" s="41" t="n">
        <f aca="false">制作工程表!$B$4+119</f>
        <v>46447</v>
      </c>
      <c r="EA7" s="41" t="n">
        <f aca="false">制作工程表!$B$4+120</f>
        <v>46448</v>
      </c>
      <c r="EB7" s="41" t="n">
        <f aca="false">制作工程表!$B$4+121</f>
        <v>46449</v>
      </c>
      <c r="EC7" s="41" t="n">
        <f aca="false">制作工程表!$B$4+122</f>
        <v>46450</v>
      </c>
      <c r="ED7" s="41" t="n">
        <f aca="false">制作工程表!$B$4+123</f>
        <v>46451</v>
      </c>
      <c r="EE7" s="41" t="n">
        <f aca="false">制作工程表!$B$4+124</f>
        <v>46452</v>
      </c>
      <c r="EF7" s="41" t="n">
        <f aca="false">制作工程表!$B$4+125</f>
        <v>46453</v>
      </c>
      <c r="EG7" s="41" t="n">
        <f aca="false">制作工程表!$B$4+126</f>
        <v>46454</v>
      </c>
      <c r="EH7" s="41" t="n">
        <f aca="false">制作工程表!$B$4+127</f>
        <v>46455</v>
      </c>
      <c r="EI7" s="41" t="n">
        <f aca="false">制作工程表!$B$4+128</f>
        <v>46456</v>
      </c>
      <c r="EJ7" s="41" t="n">
        <f aca="false">制作工程表!$B$4+129</f>
        <v>46457</v>
      </c>
      <c r="EK7" s="41" t="n">
        <f aca="false">制作工程表!$B$4+130</f>
        <v>46458</v>
      </c>
      <c r="EL7" s="41" t="n">
        <f aca="false">制作工程表!$B$4+131</f>
        <v>46459</v>
      </c>
      <c r="EM7" s="41" t="n">
        <f aca="false">制作工程表!$B$4+132</f>
        <v>46460</v>
      </c>
    </row>
    <row r="8" customFormat="false" ht="18" hidden="false" customHeight="true" outlineLevel="0" collapsed="false">
      <c r="A8" s="37"/>
      <c r="B8" s="37"/>
      <c r="C8" s="37"/>
      <c r="D8" s="37"/>
      <c r="E8" s="37"/>
      <c r="F8" s="37"/>
      <c r="G8" s="37"/>
      <c r="H8" s="37"/>
      <c r="I8" s="37"/>
      <c r="J8" s="37"/>
      <c r="K8" s="42" t="str">
        <f aca="false">CHOOSE(WEEKDAY(K7),"日","月","火","水","木","金","土")</f>
        <v>月</v>
      </c>
      <c r="L8" s="42" t="str">
        <f aca="false">CHOOSE(WEEKDAY(L7),"日","月","火","水","木","金","土")</f>
        <v>火</v>
      </c>
      <c r="M8" s="42" t="str">
        <f aca="false">CHOOSE(WEEKDAY(M7),"日","月","火","水","木","金","土")</f>
        <v>水</v>
      </c>
      <c r="N8" s="42" t="str">
        <f aca="false">CHOOSE(WEEKDAY(N7),"日","月","火","水","木","金","土")</f>
        <v>木</v>
      </c>
      <c r="O8" s="42" t="str">
        <f aca="false">CHOOSE(WEEKDAY(O7),"日","月","火","水","木","金","土")</f>
        <v>金</v>
      </c>
      <c r="P8" s="42" t="str">
        <f aca="false">CHOOSE(WEEKDAY(P7),"日","月","火","水","木","金","土")</f>
        <v>土</v>
      </c>
      <c r="Q8" s="42" t="str">
        <f aca="false">CHOOSE(WEEKDAY(Q7),"日","月","火","水","木","金","土")</f>
        <v>日</v>
      </c>
      <c r="R8" s="42" t="str">
        <f aca="false">CHOOSE(WEEKDAY(R7),"日","月","火","水","木","金","土")</f>
        <v>月</v>
      </c>
      <c r="S8" s="42" t="str">
        <f aca="false">CHOOSE(WEEKDAY(S7),"日","月","火","水","木","金","土")</f>
        <v>火</v>
      </c>
      <c r="T8" s="42" t="str">
        <f aca="false">CHOOSE(WEEKDAY(T7),"日","月","火","水","木","金","土")</f>
        <v>水</v>
      </c>
      <c r="U8" s="42" t="str">
        <f aca="false">CHOOSE(WEEKDAY(U7),"日","月","火","水","木","金","土")</f>
        <v>木</v>
      </c>
      <c r="V8" s="42" t="str">
        <f aca="false">CHOOSE(WEEKDAY(V7),"日","月","火","水","木","金","土")</f>
        <v>金</v>
      </c>
      <c r="W8" s="42" t="str">
        <f aca="false">CHOOSE(WEEKDAY(W7),"日","月","火","水","木","金","土")</f>
        <v>土</v>
      </c>
      <c r="X8" s="42" t="str">
        <f aca="false">CHOOSE(WEEKDAY(X7),"日","月","火","水","木","金","土")</f>
        <v>日</v>
      </c>
      <c r="Y8" s="42" t="str">
        <f aca="false">CHOOSE(WEEKDAY(Y7),"日","月","火","水","木","金","土")</f>
        <v>月</v>
      </c>
      <c r="Z8" s="42" t="str">
        <f aca="false">CHOOSE(WEEKDAY(Z7),"日","月","火","水","木","金","土")</f>
        <v>火</v>
      </c>
      <c r="AA8" s="42" t="str">
        <f aca="false">CHOOSE(WEEKDAY(AA7),"日","月","火","水","木","金","土")</f>
        <v>水</v>
      </c>
      <c r="AB8" s="42" t="str">
        <f aca="false">CHOOSE(WEEKDAY(AB7),"日","月","火","水","木","金","土")</f>
        <v>木</v>
      </c>
      <c r="AC8" s="42" t="str">
        <f aca="false">CHOOSE(WEEKDAY(AC7),"日","月","火","水","木","金","土")</f>
        <v>金</v>
      </c>
      <c r="AD8" s="42" t="str">
        <f aca="false">CHOOSE(WEEKDAY(AD7),"日","月","火","水","木","金","土")</f>
        <v>土</v>
      </c>
      <c r="AE8" s="42" t="str">
        <f aca="false">CHOOSE(WEEKDAY(AE7),"日","月","火","水","木","金","土")</f>
        <v>日</v>
      </c>
      <c r="AF8" s="42" t="str">
        <f aca="false">CHOOSE(WEEKDAY(AF7),"日","月","火","水","木","金","土")</f>
        <v>月</v>
      </c>
      <c r="AG8" s="42" t="str">
        <f aca="false">CHOOSE(WEEKDAY(AG7),"日","月","火","水","木","金","土")</f>
        <v>火</v>
      </c>
      <c r="AH8" s="42" t="str">
        <f aca="false">CHOOSE(WEEKDAY(AH7),"日","月","火","水","木","金","土")</f>
        <v>水</v>
      </c>
      <c r="AI8" s="42" t="str">
        <f aca="false">CHOOSE(WEEKDAY(AI7),"日","月","火","水","木","金","土")</f>
        <v>木</v>
      </c>
      <c r="AJ8" s="42" t="str">
        <f aca="false">CHOOSE(WEEKDAY(AJ7),"日","月","火","水","木","金","土")</f>
        <v>金</v>
      </c>
      <c r="AK8" s="42" t="str">
        <f aca="false">CHOOSE(WEEKDAY(AK7),"日","月","火","水","木","金","土")</f>
        <v>土</v>
      </c>
      <c r="AL8" s="42" t="str">
        <f aca="false">CHOOSE(WEEKDAY(AL7),"日","月","火","水","木","金","土")</f>
        <v>日</v>
      </c>
      <c r="AM8" s="42" t="str">
        <f aca="false">CHOOSE(WEEKDAY(AM7),"日","月","火","水","木","金","土")</f>
        <v>月</v>
      </c>
      <c r="AN8" s="42" t="str">
        <f aca="false">CHOOSE(WEEKDAY(AN7),"日","月","火","水","木","金","土")</f>
        <v>火</v>
      </c>
      <c r="AO8" s="42" t="str">
        <f aca="false">CHOOSE(WEEKDAY(AO7),"日","月","火","水","木","金","土")</f>
        <v>水</v>
      </c>
      <c r="AP8" s="42" t="str">
        <f aca="false">CHOOSE(WEEKDAY(AP7),"日","月","火","水","木","金","土")</f>
        <v>木</v>
      </c>
      <c r="AQ8" s="42" t="str">
        <f aca="false">CHOOSE(WEEKDAY(AQ7),"日","月","火","水","木","金","土")</f>
        <v>金</v>
      </c>
      <c r="AR8" s="42" t="str">
        <f aca="false">CHOOSE(WEEKDAY(AR7),"日","月","火","水","木","金","土")</f>
        <v>土</v>
      </c>
      <c r="AS8" s="42" t="str">
        <f aca="false">CHOOSE(WEEKDAY(AS7),"日","月","火","水","木","金","土")</f>
        <v>日</v>
      </c>
      <c r="AT8" s="42" t="str">
        <f aca="false">CHOOSE(WEEKDAY(AT7),"日","月","火","水","木","金","土")</f>
        <v>月</v>
      </c>
      <c r="AU8" s="42" t="str">
        <f aca="false">CHOOSE(WEEKDAY(AU7),"日","月","火","水","木","金","土")</f>
        <v>火</v>
      </c>
      <c r="AV8" s="42" t="str">
        <f aca="false">CHOOSE(WEEKDAY(AV7),"日","月","火","水","木","金","土")</f>
        <v>水</v>
      </c>
      <c r="AW8" s="42" t="str">
        <f aca="false">CHOOSE(WEEKDAY(AW7),"日","月","火","水","木","金","土")</f>
        <v>木</v>
      </c>
      <c r="AX8" s="42" t="str">
        <f aca="false">CHOOSE(WEEKDAY(AX7),"日","月","火","水","木","金","土")</f>
        <v>金</v>
      </c>
      <c r="AY8" s="42" t="str">
        <f aca="false">CHOOSE(WEEKDAY(AY7),"日","月","火","水","木","金","土")</f>
        <v>土</v>
      </c>
      <c r="AZ8" s="42" t="str">
        <f aca="false">CHOOSE(WEEKDAY(AZ7),"日","月","火","水","木","金","土")</f>
        <v>日</v>
      </c>
      <c r="BA8" s="42" t="str">
        <f aca="false">CHOOSE(WEEKDAY(BA7),"日","月","火","水","木","金","土")</f>
        <v>月</v>
      </c>
      <c r="BB8" s="42" t="str">
        <f aca="false">CHOOSE(WEEKDAY(BB7),"日","月","火","水","木","金","土")</f>
        <v>火</v>
      </c>
      <c r="BC8" s="42" t="str">
        <f aca="false">CHOOSE(WEEKDAY(BC7),"日","月","火","水","木","金","土")</f>
        <v>水</v>
      </c>
      <c r="BD8" s="42" t="str">
        <f aca="false">CHOOSE(WEEKDAY(BD7),"日","月","火","水","木","金","土")</f>
        <v>木</v>
      </c>
      <c r="BE8" s="42" t="str">
        <f aca="false">CHOOSE(WEEKDAY(BE7),"日","月","火","水","木","金","土")</f>
        <v>金</v>
      </c>
      <c r="BF8" s="42" t="str">
        <f aca="false">CHOOSE(WEEKDAY(BF7),"日","月","火","水","木","金","土")</f>
        <v>土</v>
      </c>
      <c r="BG8" s="42" t="str">
        <f aca="false">CHOOSE(WEEKDAY(BG7),"日","月","火","水","木","金","土")</f>
        <v>日</v>
      </c>
      <c r="BH8" s="42" t="str">
        <f aca="false">CHOOSE(WEEKDAY(BH7),"日","月","火","水","木","金","土")</f>
        <v>月</v>
      </c>
      <c r="BI8" s="42" t="str">
        <f aca="false">CHOOSE(WEEKDAY(BI7),"日","月","火","水","木","金","土")</f>
        <v>火</v>
      </c>
      <c r="BJ8" s="42" t="str">
        <f aca="false">CHOOSE(WEEKDAY(BJ7),"日","月","火","水","木","金","土")</f>
        <v>水</v>
      </c>
      <c r="BK8" s="42" t="str">
        <f aca="false">CHOOSE(WEEKDAY(BK7),"日","月","火","水","木","金","土")</f>
        <v>木</v>
      </c>
      <c r="BL8" s="42" t="str">
        <f aca="false">CHOOSE(WEEKDAY(BL7),"日","月","火","水","木","金","土")</f>
        <v>金</v>
      </c>
      <c r="BM8" s="42" t="str">
        <f aca="false">CHOOSE(WEEKDAY(BM7),"日","月","火","水","木","金","土")</f>
        <v>土</v>
      </c>
      <c r="BN8" s="42" t="str">
        <f aca="false">CHOOSE(WEEKDAY(BN7),"日","月","火","水","木","金","土")</f>
        <v>日</v>
      </c>
      <c r="BO8" s="42" t="str">
        <f aca="false">CHOOSE(WEEKDAY(BO7),"日","月","火","水","木","金","土")</f>
        <v>月</v>
      </c>
      <c r="BP8" s="42" t="str">
        <f aca="false">CHOOSE(WEEKDAY(BP7),"日","月","火","水","木","金","土")</f>
        <v>火</v>
      </c>
      <c r="BQ8" s="42" t="str">
        <f aca="false">CHOOSE(WEEKDAY(BQ7),"日","月","火","水","木","金","土")</f>
        <v>水</v>
      </c>
      <c r="BR8" s="42" t="str">
        <f aca="false">CHOOSE(WEEKDAY(BR7),"日","月","火","水","木","金","土")</f>
        <v>木</v>
      </c>
      <c r="BS8" s="42" t="str">
        <f aca="false">CHOOSE(WEEKDAY(BS7),"日","月","火","水","木","金","土")</f>
        <v>金</v>
      </c>
      <c r="BT8" s="42" t="str">
        <f aca="false">CHOOSE(WEEKDAY(BT7),"日","月","火","水","木","金","土")</f>
        <v>土</v>
      </c>
      <c r="BU8" s="42" t="str">
        <f aca="false">CHOOSE(WEEKDAY(BU7),"日","月","火","水","木","金","土")</f>
        <v>日</v>
      </c>
      <c r="BV8" s="42" t="str">
        <f aca="false">CHOOSE(WEEKDAY(BV7),"日","月","火","水","木","金","土")</f>
        <v>月</v>
      </c>
      <c r="BW8" s="42" t="str">
        <f aca="false">CHOOSE(WEEKDAY(BW7),"日","月","火","水","木","金","土")</f>
        <v>火</v>
      </c>
      <c r="BX8" s="42" t="str">
        <f aca="false">CHOOSE(WEEKDAY(BX7),"日","月","火","水","木","金","土")</f>
        <v>水</v>
      </c>
      <c r="BY8" s="42" t="str">
        <f aca="false">CHOOSE(WEEKDAY(BY7),"日","月","火","水","木","金","土")</f>
        <v>木</v>
      </c>
      <c r="BZ8" s="42" t="str">
        <f aca="false">CHOOSE(WEEKDAY(BZ7),"日","月","火","水","木","金","土")</f>
        <v>金</v>
      </c>
      <c r="CA8" s="42" t="str">
        <f aca="false">CHOOSE(WEEKDAY(CA7),"日","月","火","水","木","金","土")</f>
        <v>土</v>
      </c>
      <c r="CB8" s="42" t="str">
        <f aca="false">CHOOSE(WEEKDAY(CB7),"日","月","火","水","木","金","土")</f>
        <v>日</v>
      </c>
      <c r="CC8" s="42" t="str">
        <f aca="false">CHOOSE(WEEKDAY(CC7),"日","月","火","水","木","金","土")</f>
        <v>月</v>
      </c>
      <c r="CD8" s="42" t="str">
        <f aca="false">CHOOSE(WEEKDAY(CD7),"日","月","火","水","木","金","土")</f>
        <v>火</v>
      </c>
      <c r="CE8" s="42" t="str">
        <f aca="false">CHOOSE(WEEKDAY(CE7),"日","月","火","水","木","金","土")</f>
        <v>水</v>
      </c>
      <c r="CF8" s="42" t="str">
        <f aca="false">CHOOSE(WEEKDAY(CF7),"日","月","火","水","木","金","土")</f>
        <v>木</v>
      </c>
      <c r="CG8" s="42" t="str">
        <f aca="false">CHOOSE(WEEKDAY(CG7),"日","月","火","水","木","金","土")</f>
        <v>金</v>
      </c>
      <c r="CH8" s="42" t="str">
        <f aca="false">CHOOSE(WEEKDAY(CH7),"日","月","火","水","木","金","土")</f>
        <v>土</v>
      </c>
      <c r="CI8" s="42" t="str">
        <f aca="false">CHOOSE(WEEKDAY(CI7),"日","月","火","水","木","金","土")</f>
        <v>日</v>
      </c>
      <c r="CJ8" s="42" t="str">
        <f aca="false">CHOOSE(WEEKDAY(CJ7),"日","月","火","水","木","金","土")</f>
        <v>月</v>
      </c>
      <c r="CK8" s="42" t="str">
        <f aca="false">CHOOSE(WEEKDAY(CK7),"日","月","火","水","木","金","土")</f>
        <v>火</v>
      </c>
      <c r="CL8" s="42" t="str">
        <f aca="false">CHOOSE(WEEKDAY(CL7),"日","月","火","水","木","金","土")</f>
        <v>水</v>
      </c>
      <c r="CM8" s="42" t="str">
        <f aca="false">CHOOSE(WEEKDAY(CM7),"日","月","火","水","木","金","土")</f>
        <v>木</v>
      </c>
      <c r="CN8" s="42" t="str">
        <f aca="false">CHOOSE(WEEKDAY(CN7),"日","月","火","水","木","金","土")</f>
        <v>金</v>
      </c>
      <c r="CO8" s="42" t="str">
        <f aca="false">CHOOSE(WEEKDAY(CO7),"日","月","火","水","木","金","土")</f>
        <v>土</v>
      </c>
      <c r="CP8" s="42" t="str">
        <f aca="false">CHOOSE(WEEKDAY(CP7),"日","月","火","水","木","金","土")</f>
        <v>日</v>
      </c>
      <c r="CQ8" s="42" t="str">
        <f aca="false">CHOOSE(WEEKDAY(CQ7),"日","月","火","水","木","金","土")</f>
        <v>月</v>
      </c>
      <c r="CR8" s="42" t="str">
        <f aca="false">CHOOSE(WEEKDAY(CR7),"日","月","火","水","木","金","土")</f>
        <v>火</v>
      </c>
      <c r="CS8" s="42" t="str">
        <f aca="false">CHOOSE(WEEKDAY(CS7),"日","月","火","水","木","金","土")</f>
        <v>水</v>
      </c>
      <c r="CT8" s="42" t="str">
        <f aca="false">CHOOSE(WEEKDAY(CT7),"日","月","火","水","木","金","土")</f>
        <v>木</v>
      </c>
      <c r="CU8" s="42" t="str">
        <f aca="false">CHOOSE(WEEKDAY(CU7),"日","月","火","水","木","金","土")</f>
        <v>金</v>
      </c>
      <c r="CV8" s="42" t="str">
        <f aca="false">CHOOSE(WEEKDAY(CV7),"日","月","火","水","木","金","土")</f>
        <v>土</v>
      </c>
      <c r="CW8" s="42" t="str">
        <f aca="false">CHOOSE(WEEKDAY(CW7),"日","月","火","水","木","金","土")</f>
        <v>日</v>
      </c>
      <c r="CX8" s="42" t="str">
        <f aca="false">CHOOSE(WEEKDAY(CX7),"日","月","火","水","木","金","土")</f>
        <v>月</v>
      </c>
      <c r="CY8" s="42" t="str">
        <f aca="false">CHOOSE(WEEKDAY(CY7),"日","月","火","水","木","金","土")</f>
        <v>火</v>
      </c>
      <c r="CZ8" s="42" t="str">
        <f aca="false">CHOOSE(WEEKDAY(CZ7),"日","月","火","水","木","金","土")</f>
        <v>水</v>
      </c>
      <c r="DA8" s="42" t="str">
        <f aca="false">CHOOSE(WEEKDAY(DA7),"日","月","火","水","木","金","土")</f>
        <v>木</v>
      </c>
      <c r="DB8" s="42" t="str">
        <f aca="false">CHOOSE(WEEKDAY(DB7),"日","月","火","水","木","金","土")</f>
        <v>金</v>
      </c>
      <c r="DC8" s="42" t="str">
        <f aca="false">CHOOSE(WEEKDAY(DC7),"日","月","火","水","木","金","土")</f>
        <v>土</v>
      </c>
      <c r="DD8" s="42" t="str">
        <f aca="false">CHOOSE(WEEKDAY(DD7),"日","月","火","水","木","金","土")</f>
        <v>日</v>
      </c>
      <c r="DE8" s="42" t="str">
        <f aca="false">CHOOSE(WEEKDAY(DE7),"日","月","火","水","木","金","土")</f>
        <v>月</v>
      </c>
      <c r="DF8" s="42" t="str">
        <f aca="false">CHOOSE(WEEKDAY(DF7),"日","月","火","水","木","金","土")</f>
        <v>火</v>
      </c>
      <c r="DG8" s="42" t="str">
        <f aca="false">CHOOSE(WEEKDAY(DG7),"日","月","火","水","木","金","土")</f>
        <v>水</v>
      </c>
      <c r="DH8" s="42" t="str">
        <f aca="false">CHOOSE(WEEKDAY(DH7),"日","月","火","水","木","金","土")</f>
        <v>木</v>
      </c>
      <c r="DI8" s="42" t="str">
        <f aca="false">CHOOSE(WEEKDAY(DI7),"日","月","火","水","木","金","土")</f>
        <v>金</v>
      </c>
      <c r="DJ8" s="42" t="str">
        <f aca="false">CHOOSE(WEEKDAY(DJ7),"日","月","火","水","木","金","土")</f>
        <v>土</v>
      </c>
      <c r="DK8" s="42" t="str">
        <f aca="false">CHOOSE(WEEKDAY(DK7),"日","月","火","水","木","金","土")</f>
        <v>日</v>
      </c>
      <c r="DL8" s="42" t="str">
        <f aca="false">CHOOSE(WEEKDAY(DL7),"日","月","火","水","木","金","土")</f>
        <v>月</v>
      </c>
      <c r="DM8" s="42" t="str">
        <f aca="false">CHOOSE(WEEKDAY(DM7),"日","月","火","水","木","金","土")</f>
        <v>火</v>
      </c>
      <c r="DN8" s="42" t="str">
        <f aca="false">CHOOSE(WEEKDAY(DN7),"日","月","火","水","木","金","土")</f>
        <v>水</v>
      </c>
      <c r="DO8" s="42" t="str">
        <f aca="false">CHOOSE(WEEKDAY(DO7),"日","月","火","水","木","金","土")</f>
        <v>木</v>
      </c>
      <c r="DP8" s="42" t="str">
        <f aca="false">CHOOSE(WEEKDAY(DP7),"日","月","火","水","木","金","土")</f>
        <v>金</v>
      </c>
      <c r="DQ8" s="42" t="str">
        <f aca="false">CHOOSE(WEEKDAY(DQ7),"日","月","火","水","木","金","土")</f>
        <v>土</v>
      </c>
      <c r="DR8" s="42" t="str">
        <f aca="false">CHOOSE(WEEKDAY(DR7),"日","月","火","水","木","金","土")</f>
        <v>日</v>
      </c>
      <c r="DS8" s="42" t="str">
        <f aca="false">CHOOSE(WEEKDAY(DS7),"日","月","火","水","木","金","土")</f>
        <v>月</v>
      </c>
      <c r="DT8" s="42" t="str">
        <f aca="false">CHOOSE(WEEKDAY(DT7),"日","月","火","水","木","金","土")</f>
        <v>火</v>
      </c>
      <c r="DU8" s="42" t="str">
        <f aca="false">CHOOSE(WEEKDAY(DU7),"日","月","火","水","木","金","土")</f>
        <v>水</v>
      </c>
      <c r="DV8" s="42" t="str">
        <f aca="false">CHOOSE(WEEKDAY(DV7),"日","月","火","水","木","金","土")</f>
        <v>木</v>
      </c>
      <c r="DW8" s="42" t="str">
        <f aca="false">CHOOSE(WEEKDAY(DW7),"日","月","火","水","木","金","土")</f>
        <v>金</v>
      </c>
      <c r="DX8" s="42" t="str">
        <f aca="false">CHOOSE(WEEKDAY(DX7),"日","月","火","水","木","金","土")</f>
        <v>土</v>
      </c>
      <c r="DY8" s="42" t="str">
        <f aca="false">CHOOSE(WEEKDAY(DY7),"日","月","火","水","木","金","土")</f>
        <v>日</v>
      </c>
      <c r="DZ8" s="42" t="str">
        <f aca="false">CHOOSE(WEEKDAY(DZ7),"日","月","火","水","木","金","土")</f>
        <v>月</v>
      </c>
      <c r="EA8" s="42" t="str">
        <f aca="false">CHOOSE(WEEKDAY(EA7),"日","月","火","水","木","金","土")</f>
        <v>火</v>
      </c>
      <c r="EB8" s="42" t="str">
        <f aca="false">CHOOSE(WEEKDAY(EB7),"日","月","火","水","木","金","土")</f>
        <v>水</v>
      </c>
      <c r="EC8" s="42" t="str">
        <f aca="false">CHOOSE(WEEKDAY(EC7),"日","月","火","水","木","金","土")</f>
        <v>木</v>
      </c>
      <c r="ED8" s="42" t="str">
        <f aca="false">CHOOSE(WEEKDAY(ED7),"日","月","火","水","木","金","土")</f>
        <v>金</v>
      </c>
      <c r="EE8" s="42" t="str">
        <f aca="false">CHOOSE(WEEKDAY(EE7),"日","月","火","水","木","金","土")</f>
        <v>土</v>
      </c>
      <c r="EF8" s="42" t="str">
        <f aca="false">CHOOSE(WEEKDAY(EF7),"日","月","火","水","木","金","土")</f>
        <v>日</v>
      </c>
      <c r="EG8" s="42" t="str">
        <f aca="false">CHOOSE(WEEKDAY(EG7),"日","月","火","水","木","金","土")</f>
        <v>月</v>
      </c>
      <c r="EH8" s="42" t="str">
        <f aca="false">CHOOSE(WEEKDAY(EH7),"日","月","火","水","木","金","土")</f>
        <v>火</v>
      </c>
      <c r="EI8" s="42" t="str">
        <f aca="false">CHOOSE(WEEKDAY(EI7),"日","月","火","水","木","金","土")</f>
        <v>水</v>
      </c>
      <c r="EJ8" s="42" t="str">
        <f aca="false">CHOOSE(WEEKDAY(EJ7),"日","月","火","水","木","金","土")</f>
        <v>木</v>
      </c>
      <c r="EK8" s="42" t="str">
        <f aca="false">CHOOSE(WEEKDAY(EK7),"日","月","火","水","木","金","土")</f>
        <v>金</v>
      </c>
      <c r="EL8" s="42" t="str">
        <f aca="false">CHOOSE(WEEKDAY(EL7),"日","月","火","水","木","金","土")</f>
        <v>土</v>
      </c>
      <c r="EM8" s="42" t="str">
        <f aca="false">CHOOSE(WEEKDAY(EM7),"日","月","火","水","木","金","土")</f>
        <v>日</v>
      </c>
    </row>
    <row r="9" customFormat="false" ht="19.5" hidden="false" customHeight="true" outlineLevel="0" collapsed="false">
      <c r="A9" s="43" t="str">
        <f aca="false">"マイルストーン　撮影 "&amp;TEXT(制作工程表!$E$4,"m/d")&amp;"・"&amp;TEXT(制作工程表!$H$4,"m/d")&amp;"　／　公開 "&amp;TEXT(制作工程表!$H$31,"m/d")</f>
        <v>マイルストーン　撮影 12/21・12/22　／　公開 3/5</v>
      </c>
      <c r="B9" s="43"/>
      <c r="C9" s="43"/>
      <c r="D9" s="43"/>
      <c r="E9" s="43"/>
      <c r="F9" s="43"/>
      <c r="G9" s="43"/>
      <c r="H9" s="43"/>
      <c r="I9" s="43"/>
      <c r="J9" s="43"/>
      <c r="K9" s="44" t="str">
        <f aca="false">IF(OR(K$7=制作工程表!$E$4,K$7=制作工程表!$H$4),"撮",IF(K$7=制作工程表!$H$31,"公",""))</f>
        <v/>
      </c>
      <c r="L9" s="44" t="str">
        <f aca="false">IF(OR(L$7=制作工程表!$E$4,L$7=制作工程表!$H$4),"撮",IF(L$7=制作工程表!$H$31,"公",""))</f>
        <v/>
      </c>
      <c r="M9" s="44" t="str">
        <f aca="false">IF(OR(M$7=制作工程表!$E$4,M$7=制作工程表!$H$4),"撮",IF(M$7=制作工程表!$H$31,"公",""))</f>
        <v/>
      </c>
      <c r="N9" s="44" t="str">
        <f aca="false">IF(OR(N$7=制作工程表!$E$4,N$7=制作工程表!$H$4),"撮",IF(N$7=制作工程表!$H$31,"公",""))</f>
        <v/>
      </c>
      <c r="O9" s="44" t="str">
        <f aca="false">IF(OR(O$7=制作工程表!$E$4,O$7=制作工程表!$H$4),"撮",IF(O$7=制作工程表!$H$31,"公",""))</f>
        <v/>
      </c>
      <c r="P9" s="44" t="str">
        <f aca="false">IF(OR(P$7=制作工程表!$E$4,P$7=制作工程表!$H$4),"撮",IF(P$7=制作工程表!$H$31,"公",""))</f>
        <v/>
      </c>
      <c r="Q9" s="44" t="str">
        <f aca="false">IF(OR(Q$7=制作工程表!$E$4,Q$7=制作工程表!$H$4),"撮",IF(Q$7=制作工程表!$H$31,"公",""))</f>
        <v/>
      </c>
      <c r="R9" s="44" t="str">
        <f aca="false">IF(OR(R$7=制作工程表!$E$4,R$7=制作工程表!$H$4),"撮",IF(R$7=制作工程表!$H$31,"公",""))</f>
        <v/>
      </c>
      <c r="S9" s="44" t="str">
        <f aca="false">IF(OR(S$7=制作工程表!$E$4,S$7=制作工程表!$H$4),"撮",IF(S$7=制作工程表!$H$31,"公",""))</f>
        <v/>
      </c>
      <c r="T9" s="44" t="str">
        <f aca="false">IF(OR(T$7=制作工程表!$E$4,T$7=制作工程表!$H$4),"撮",IF(T$7=制作工程表!$H$31,"公",""))</f>
        <v/>
      </c>
      <c r="U9" s="44" t="str">
        <f aca="false">IF(OR(U$7=制作工程表!$E$4,U$7=制作工程表!$H$4),"撮",IF(U$7=制作工程表!$H$31,"公",""))</f>
        <v/>
      </c>
      <c r="V9" s="44" t="str">
        <f aca="false">IF(OR(V$7=制作工程表!$E$4,V$7=制作工程表!$H$4),"撮",IF(V$7=制作工程表!$H$31,"公",""))</f>
        <v/>
      </c>
      <c r="W9" s="44" t="str">
        <f aca="false">IF(OR(W$7=制作工程表!$E$4,W$7=制作工程表!$H$4),"撮",IF(W$7=制作工程表!$H$31,"公",""))</f>
        <v/>
      </c>
      <c r="X9" s="44" t="str">
        <f aca="false">IF(OR(X$7=制作工程表!$E$4,X$7=制作工程表!$H$4),"撮",IF(X$7=制作工程表!$H$31,"公",""))</f>
        <v/>
      </c>
      <c r="Y9" s="44" t="str">
        <f aca="false">IF(OR(Y$7=制作工程表!$E$4,Y$7=制作工程表!$H$4),"撮",IF(Y$7=制作工程表!$H$31,"公",""))</f>
        <v/>
      </c>
      <c r="Z9" s="44" t="str">
        <f aca="false">IF(OR(Z$7=制作工程表!$E$4,Z$7=制作工程表!$H$4),"撮",IF(Z$7=制作工程表!$H$31,"公",""))</f>
        <v/>
      </c>
      <c r="AA9" s="44" t="str">
        <f aca="false">IF(OR(AA$7=制作工程表!$E$4,AA$7=制作工程表!$H$4),"撮",IF(AA$7=制作工程表!$H$31,"公",""))</f>
        <v/>
      </c>
      <c r="AB9" s="44" t="str">
        <f aca="false">IF(OR(AB$7=制作工程表!$E$4,AB$7=制作工程表!$H$4),"撮",IF(AB$7=制作工程表!$H$31,"公",""))</f>
        <v/>
      </c>
      <c r="AC9" s="44" t="str">
        <f aca="false">IF(OR(AC$7=制作工程表!$E$4,AC$7=制作工程表!$H$4),"撮",IF(AC$7=制作工程表!$H$31,"公",""))</f>
        <v/>
      </c>
      <c r="AD9" s="44" t="str">
        <f aca="false">IF(OR(AD$7=制作工程表!$E$4,AD$7=制作工程表!$H$4),"撮",IF(AD$7=制作工程表!$H$31,"公",""))</f>
        <v/>
      </c>
      <c r="AE9" s="44" t="str">
        <f aca="false">IF(OR(AE$7=制作工程表!$E$4,AE$7=制作工程表!$H$4),"撮",IF(AE$7=制作工程表!$H$31,"公",""))</f>
        <v/>
      </c>
      <c r="AF9" s="44" t="str">
        <f aca="false">IF(OR(AF$7=制作工程表!$E$4,AF$7=制作工程表!$H$4),"撮",IF(AF$7=制作工程表!$H$31,"公",""))</f>
        <v/>
      </c>
      <c r="AG9" s="44" t="str">
        <f aca="false">IF(OR(AG$7=制作工程表!$E$4,AG$7=制作工程表!$H$4),"撮",IF(AG$7=制作工程表!$H$31,"公",""))</f>
        <v/>
      </c>
      <c r="AH9" s="44" t="str">
        <f aca="false">IF(OR(AH$7=制作工程表!$E$4,AH$7=制作工程表!$H$4),"撮",IF(AH$7=制作工程表!$H$31,"公",""))</f>
        <v/>
      </c>
      <c r="AI9" s="44" t="str">
        <f aca="false">IF(OR(AI$7=制作工程表!$E$4,AI$7=制作工程表!$H$4),"撮",IF(AI$7=制作工程表!$H$31,"公",""))</f>
        <v/>
      </c>
      <c r="AJ9" s="44" t="str">
        <f aca="false">IF(OR(AJ$7=制作工程表!$E$4,AJ$7=制作工程表!$H$4),"撮",IF(AJ$7=制作工程表!$H$31,"公",""))</f>
        <v/>
      </c>
      <c r="AK9" s="44" t="str">
        <f aca="false">IF(OR(AK$7=制作工程表!$E$4,AK$7=制作工程表!$H$4),"撮",IF(AK$7=制作工程表!$H$31,"公",""))</f>
        <v/>
      </c>
      <c r="AL9" s="44" t="str">
        <f aca="false">IF(OR(AL$7=制作工程表!$E$4,AL$7=制作工程表!$H$4),"撮",IF(AL$7=制作工程表!$H$31,"公",""))</f>
        <v/>
      </c>
      <c r="AM9" s="44" t="str">
        <f aca="false">IF(OR(AM$7=制作工程表!$E$4,AM$7=制作工程表!$H$4),"撮",IF(AM$7=制作工程表!$H$31,"公",""))</f>
        <v/>
      </c>
      <c r="AN9" s="44" t="str">
        <f aca="false">IF(OR(AN$7=制作工程表!$E$4,AN$7=制作工程表!$H$4),"撮",IF(AN$7=制作工程表!$H$31,"公",""))</f>
        <v/>
      </c>
      <c r="AO9" s="44" t="str">
        <f aca="false">IF(OR(AO$7=制作工程表!$E$4,AO$7=制作工程表!$H$4),"撮",IF(AO$7=制作工程表!$H$31,"公",""))</f>
        <v/>
      </c>
      <c r="AP9" s="44" t="str">
        <f aca="false">IF(OR(AP$7=制作工程表!$E$4,AP$7=制作工程表!$H$4),"撮",IF(AP$7=制作工程表!$H$31,"公",""))</f>
        <v/>
      </c>
      <c r="AQ9" s="44" t="str">
        <f aca="false">IF(OR(AQ$7=制作工程表!$E$4,AQ$7=制作工程表!$H$4),"撮",IF(AQ$7=制作工程表!$H$31,"公",""))</f>
        <v/>
      </c>
      <c r="AR9" s="44" t="str">
        <f aca="false">IF(OR(AR$7=制作工程表!$E$4,AR$7=制作工程表!$H$4),"撮",IF(AR$7=制作工程表!$H$31,"公",""))</f>
        <v/>
      </c>
      <c r="AS9" s="44" t="str">
        <f aca="false">IF(OR(AS$7=制作工程表!$E$4,AS$7=制作工程表!$H$4),"撮",IF(AS$7=制作工程表!$H$31,"公",""))</f>
        <v/>
      </c>
      <c r="AT9" s="44" t="str">
        <f aca="false">IF(OR(AT$7=制作工程表!$E$4,AT$7=制作工程表!$H$4),"撮",IF(AT$7=制作工程表!$H$31,"公",""))</f>
        <v/>
      </c>
      <c r="AU9" s="44" t="str">
        <f aca="false">IF(OR(AU$7=制作工程表!$E$4,AU$7=制作工程表!$H$4),"撮",IF(AU$7=制作工程表!$H$31,"公",""))</f>
        <v/>
      </c>
      <c r="AV9" s="44" t="str">
        <f aca="false">IF(OR(AV$7=制作工程表!$E$4,AV$7=制作工程表!$H$4),"撮",IF(AV$7=制作工程表!$H$31,"公",""))</f>
        <v/>
      </c>
      <c r="AW9" s="44" t="str">
        <f aca="false">IF(OR(AW$7=制作工程表!$E$4,AW$7=制作工程表!$H$4),"撮",IF(AW$7=制作工程表!$H$31,"公",""))</f>
        <v/>
      </c>
      <c r="AX9" s="44" t="str">
        <f aca="false">IF(OR(AX$7=制作工程表!$E$4,AX$7=制作工程表!$H$4),"撮",IF(AX$7=制作工程表!$H$31,"公",""))</f>
        <v/>
      </c>
      <c r="AY9" s="44" t="str">
        <f aca="false">IF(OR(AY$7=制作工程表!$E$4,AY$7=制作工程表!$H$4),"撮",IF(AY$7=制作工程表!$H$31,"公",""))</f>
        <v/>
      </c>
      <c r="AZ9" s="44" t="str">
        <f aca="false">IF(OR(AZ$7=制作工程表!$E$4,AZ$7=制作工程表!$H$4),"撮",IF(AZ$7=制作工程表!$H$31,"公",""))</f>
        <v/>
      </c>
      <c r="BA9" s="44" t="str">
        <f aca="false">IF(OR(BA$7=制作工程表!$E$4,BA$7=制作工程表!$H$4),"撮",IF(BA$7=制作工程表!$H$31,"公",""))</f>
        <v/>
      </c>
      <c r="BB9" s="44" t="str">
        <f aca="false">IF(OR(BB$7=制作工程表!$E$4,BB$7=制作工程表!$H$4),"撮",IF(BB$7=制作工程表!$H$31,"公",""))</f>
        <v/>
      </c>
      <c r="BC9" s="44" t="str">
        <f aca="false">IF(OR(BC$7=制作工程表!$E$4,BC$7=制作工程表!$H$4),"撮",IF(BC$7=制作工程表!$H$31,"公",""))</f>
        <v/>
      </c>
      <c r="BD9" s="44" t="str">
        <f aca="false">IF(OR(BD$7=制作工程表!$E$4,BD$7=制作工程表!$H$4),"撮",IF(BD$7=制作工程表!$H$31,"公",""))</f>
        <v/>
      </c>
      <c r="BE9" s="44" t="str">
        <f aca="false">IF(OR(BE$7=制作工程表!$E$4,BE$7=制作工程表!$H$4),"撮",IF(BE$7=制作工程表!$H$31,"公",""))</f>
        <v/>
      </c>
      <c r="BF9" s="44" t="str">
        <f aca="false">IF(OR(BF$7=制作工程表!$E$4,BF$7=制作工程表!$H$4),"撮",IF(BF$7=制作工程表!$H$31,"公",""))</f>
        <v/>
      </c>
      <c r="BG9" s="44" t="str">
        <f aca="false">IF(OR(BG$7=制作工程表!$E$4,BG$7=制作工程表!$H$4),"撮",IF(BG$7=制作工程表!$H$31,"公",""))</f>
        <v/>
      </c>
      <c r="BH9" s="44" t="str">
        <f aca="false">IF(OR(BH$7=制作工程表!$E$4,BH$7=制作工程表!$H$4),"撮",IF(BH$7=制作工程表!$H$31,"公",""))</f>
        <v>撮</v>
      </c>
      <c r="BI9" s="44" t="str">
        <f aca="false">IF(OR(BI$7=制作工程表!$E$4,BI$7=制作工程表!$H$4),"撮",IF(BI$7=制作工程表!$H$31,"公",""))</f>
        <v>撮</v>
      </c>
      <c r="BJ9" s="44" t="str">
        <f aca="false">IF(OR(BJ$7=制作工程表!$E$4,BJ$7=制作工程表!$H$4),"撮",IF(BJ$7=制作工程表!$H$31,"公",""))</f>
        <v/>
      </c>
      <c r="BK9" s="44" t="str">
        <f aca="false">IF(OR(BK$7=制作工程表!$E$4,BK$7=制作工程表!$H$4),"撮",IF(BK$7=制作工程表!$H$31,"公",""))</f>
        <v/>
      </c>
      <c r="BL9" s="44" t="str">
        <f aca="false">IF(OR(BL$7=制作工程表!$E$4,BL$7=制作工程表!$H$4),"撮",IF(BL$7=制作工程表!$H$31,"公",""))</f>
        <v/>
      </c>
      <c r="BM9" s="44" t="str">
        <f aca="false">IF(OR(BM$7=制作工程表!$E$4,BM$7=制作工程表!$H$4),"撮",IF(BM$7=制作工程表!$H$31,"公",""))</f>
        <v/>
      </c>
      <c r="BN9" s="44" t="str">
        <f aca="false">IF(OR(BN$7=制作工程表!$E$4,BN$7=制作工程表!$H$4),"撮",IF(BN$7=制作工程表!$H$31,"公",""))</f>
        <v/>
      </c>
      <c r="BO9" s="44" t="str">
        <f aca="false">IF(OR(BO$7=制作工程表!$E$4,BO$7=制作工程表!$H$4),"撮",IF(BO$7=制作工程表!$H$31,"公",""))</f>
        <v/>
      </c>
      <c r="BP9" s="44" t="str">
        <f aca="false">IF(OR(BP$7=制作工程表!$E$4,BP$7=制作工程表!$H$4),"撮",IF(BP$7=制作工程表!$H$31,"公",""))</f>
        <v/>
      </c>
      <c r="BQ9" s="44" t="str">
        <f aca="false">IF(OR(BQ$7=制作工程表!$E$4,BQ$7=制作工程表!$H$4),"撮",IF(BQ$7=制作工程表!$H$31,"公",""))</f>
        <v/>
      </c>
      <c r="BR9" s="44" t="str">
        <f aca="false">IF(OR(BR$7=制作工程表!$E$4,BR$7=制作工程表!$H$4),"撮",IF(BR$7=制作工程表!$H$31,"公",""))</f>
        <v/>
      </c>
      <c r="BS9" s="44" t="str">
        <f aca="false">IF(OR(BS$7=制作工程表!$E$4,BS$7=制作工程表!$H$4),"撮",IF(BS$7=制作工程表!$H$31,"公",""))</f>
        <v/>
      </c>
      <c r="BT9" s="44" t="str">
        <f aca="false">IF(OR(BT$7=制作工程表!$E$4,BT$7=制作工程表!$H$4),"撮",IF(BT$7=制作工程表!$H$31,"公",""))</f>
        <v/>
      </c>
      <c r="BU9" s="44" t="str">
        <f aca="false">IF(OR(BU$7=制作工程表!$E$4,BU$7=制作工程表!$H$4),"撮",IF(BU$7=制作工程表!$H$31,"公",""))</f>
        <v/>
      </c>
      <c r="BV9" s="44" t="str">
        <f aca="false">IF(OR(BV$7=制作工程表!$E$4,BV$7=制作工程表!$H$4),"撮",IF(BV$7=制作工程表!$H$31,"公",""))</f>
        <v/>
      </c>
      <c r="BW9" s="44" t="str">
        <f aca="false">IF(OR(BW$7=制作工程表!$E$4,BW$7=制作工程表!$H$4),"撮",IF(BW$7=制作工程表!$H$31,"公",""))</f>
        <v/>
      </c>
      <c r="BX9" s="44" t="str">
        <f aca="false">IF(OR(BX$7=制作工程表!$E$4,BX$7=制作工程表!$H$4),"撮",IF(BX$7=制作工程表!$H$31,"公",""))</f>
        <v/>
      </c>
      <c r="BY9" s="44" t="str">
        <f aca="false">IF(OR(BY$7=制作工程表!$E$4,BY$7=制作工程表!$H$4),"撮",IF(BY$7=制作工程表!$H$31,"公",""))</f>
        <v/>
      </c>
      <c r="BZ9" s="44" t="str">
        <f aca="false">IF(OR(BZ$7=制作工程表!$E$4,BZ$7=制作工程表!$H$4),"撮",IF(BZ$7=制作工程表!$H$31,"公",""))</f>
        <v/>
      </c>
      <c r="CA9" s="44" t="str">
        <f aca="false">IF(OR(CA$7=制作工程表!$E$4,CA$7=制作工程表!$H$4),"撮",IF(CA$7=制作工程表!$H$31,"公",""))</f>
        <v/>
      </c>
      <c r="CB9" s="44" t="str">
        <f aca="false">IF(OR(CB$7=制作工程表!$E$4,CB$7=制作工程表!$H$4),"撮",IF(CB$7=制作工程表!$H$31,"公",""))</f>
        <v/>
      </c>
      <c r="CC9" s="44" t="str">
        <f aca="false">IF(OR(CC$7=制作工程表!$E$4,CC$7=制作工程表!$H$4),"撮",IF(CC$7=制作工程表!$H$31,"公",""))</f>
        <v/>
      </c>
      <c r="CD9" s="44" t="str">
        <f aca="false">IF(OR(CD$7=制作工程表!$E$4,CD$7=制作工程表!$H$4),"撮",IF(CD$7=制作工程表!$H$31,"公",""))</f>
        <v/>
      </c>
      <c r="CE9" s="44" t="str">
        <f aca="false">IF(OR(CE$7=制作工程表!$E$4,CE$7=制作工程表!$H$4),"撮",IF(CE$7=制作工程表!$H$31,"公",""))</f>
        <v/>
      </c>
      <c r="CF9" s="44" t="str">
        <f aca="false">IF(OR(CF$7=制作工程表!$E$4,CF$7=制作工程表!$H$4),"撮",IF(CF$7=制作工程表!$H$31,"公",""))</f>
        <v/>
      </c>
      <c r="CG9" s="44" t="str">
        <f aca="false">IF(OR(CG$7=制作工程表!$E$4,CG$7=制作工程表!$H$4),"撮",IF(CG$7=制作工程表!$H$31,"公",""))</f>
        <v/>
      </c>
      <c r="CH9" s="44" t="str">
        <f aca="false">IF(OR(CH$7=制作工程表!$E$4,CH$7=制作工程表!$H$4),"撮",IF(CH$7=制作工程表!$H$31,"公",""))</f>
        <v/>
      </c>
      <c r="CI9" s="44" t="str">
        <f aca="false">IF(OR(CI$7=制作工程表!$E$4,CI$7=制作工程表!$H$4),"撮",IF(CI$7=制作工程表!$H$31,"公",""))</f>
        <v/>
      </c>
      <c r="CJ9" s="44" t="str">
        <f aca="false">IF(OR(CJ$7=制作工程表!$E$4,CJ$7=制作工程表!$H$4),"撮",IF(CJ$7=制作工程表!$H$31,"公",""))</f>
        <v/>
      </c>
      <c r="CK9" s="44" t="str">
        <f aca="false">IF(OR(CK$7=制作工程表!$E$4,CK$7=制作工程表!$H$4),"撮",IF(CK$7=制作工程表!$H$31,"公",""))</f>
        <v/>
      </c>
      <c r="CL9" s="44" t="str">
        <f aca="false">IF(OR(CL$7=制作工程表!$E$4,CL$7=制作工程表!$H$4),"撮",IF(CL$7=制作工程表!$H$31,"公",""))</f>
        <v/>
      </c>
      <c r="CM9" s="44" t="str">
        <f aca="false">IF(OR(CM$7=制作工程表!$E$4,CM$7=制作工程表!$H$4),"撮",IF(CM$7=制作工程表!$H$31,"公",""))</f>
        <v/>
      </c>
      <c r="CN9" s="44" t="str">
        <f aca="false">IF(OR(CN$7=制作工程表!$E$4,CN$7=制作工程表!$H$4),"撮",IF(CN$7=制作工程表!$H$31,"公",""))</f>
        <v/>
      </c>
      <c r="CO9" s="44" t="str">
        <f aca="false">IF(OR(CO$7=制作工程表!$E$4,CO$7=制作工程表!$H$4),"撮",IF(CO$7=制作工程表!$H$31,"公",""))</f>
        <v/>
      </c>
      <c r="CP9" s="44" t="str">
        <f aca="false">IF(OR(CP$7=制作工程表!$E$4,CP$7=制作工程表!$H$4),"撮",IF(CP$7=制作工程表!$H$31,"公",""))</f>
        <v/>
      </c>
      <c r="CQ9" s="44" t="str">
        <f aca="false">IF(OR(CQ$7=制作工程表!$E$4,CQ$7=制作工程表!$H$4),"撮",IF(CQ$7=制作工程表!$H$31,"公",""))</f>
        <v/>
      </c>
      <c r="CR9" s="44" t="str">
        <f aca="false">IF(OR(CR$7=制作工程表!$E$4,CR$7=制作工程表!$H$4),"撮",IF(CR$7=制作工程表!$H$31,"公",""))</f>
        <v/>
      </c>
      <c r="CS9" s="44" t="str">
        <f aca="false">IF(OR(CS$7=制作工程表!$E$4,CS$7=制作工程表!$H$4),"撮",IF(CS$7=制作工程表!$H$31,"公",""))</f>
        <v/>
      </c>
      <c r="CT9" s="44" t="str">
        <f aca="false">IF(OR(CT$7=制作工程表!$E$4,CT$7=制作工程表!$H$4),"撮",IF(CT$7=制作工程表!$H$31,"公",""))</f>
        <v/>
      </c>
      <c r="CU9" s="44" t="str">
        <f aca="false">IF(OR(CU$7=制作工程表!$E$4,CU$7=制作工程表!$H$4),"撮",IF(CU$7=制作工程表!$H$31,"公",""))</f>
        <v/>
      </c>
      <c r="CV9" s="44" t="str">
        <f aca="false">IF(OR(CV$7=制作工程表!$E$4,CV$7=制作工程表!$H$4),"撮",IF(CV$7=制作工程表!$H$31,"公",""))</f>
        <v/>
      </c>
      <c r="CW9" s="44" t="str">
        <f aca="false">IF(OR(CW$7=制作工程表!$E$4,CW$7=制作工程表!$H$4),"撮",IF(CW$7=制作工程表!$H$31,"公",""))</f>
        <v/>
      </c>
      <c r="CX9" s="44" t="str">
        <f aca="false">IF(OR(CX$7=制作工程表!$E$4,CX$7=制作工程表!$H$4),"撮",IF(CX$7=制作工程表!$H$31,"公",""))</f>
        <v/>
      </c>
      <c r="CY9" s="44" t="str">
        <f aca="false">IF(OR(CY$7=制作工程表!$E$4,CY$7=制作工程表!$H$4),"撮",IF(CY$7=制作工程表!$H$31,"公",""))</f>
        <v/>
      </c>
      <c r="CZ9" s="44" t="str">
        <f aca="false">IF(OR(CZ$7=制作工程表!$E$4,CZ$7=制作工程表!$H$4),"撮",IF(CZ$7=制作工程表!$H$31,"公",""))</f>
        <v/>
      </c>
      <c r="DA9" s="44" t="str">
        <f aca="false">IF(OR(DA$7=制作工程表!$E$4,DA$7=制作工程表!$H$4),"撮",IF(DA$7=制作工程表!$H$31,"公",""))</f>
        <v/>
      </c>
      <c r="DB9" s="44" t="str">
        <f aca="false">IF(OR(DB$7=制作工程表!$E$4,DB$7=制作工程表!$H$4),"撮",IF(DB$7=制作工程表!$H$31,"公",""))</f>
        <v/>
      </c>
      <c r="DC9" s="44" t="str">
        <f aca="false">IF(OR(DC$7=制作工程表!$E$4,DC$7=制作工程表!$H$4),"撮",IF(DC$7=制作工程表!$H$31,"公",""))</f>
        <v/>
      </c>
      <c r="DD9" s="44" t="str">
        <f aca="false">IF(OR(DD$7=制作工程表!$E$4,DD$7=制作工程表!$H$4),"撮",IF(DD$7=制作工程表!$H$31,"公",""))</f>
        <v/>
      </c>
      <c r="DE9" s="44" t="str">
        <f aca="false">IF(OR(DE$7=制作工程表!$E$4,DE$7=制作工程表!$H$4),"撮",IF(DE$7=制作工程表!$H$31,"公",""))</f>
        <v/>
      </c>
      <c r="DF9" s="44" t="str">
        <f aca="false">IF(OR(DF$7=制作工程表!$E$4,DF$7=制作工程表!$H$4),"撮",IF(DF$7=制作工程表!$H$31,"公",""))</f>
        <v/>
      </c>
      <c r="DG9" s="44" t="str">
        <f aca="false">IF(OR(DG$7=制作工程表!$E$4,DG$7=制作工程表!$H$4),"撮",IF(DG$7=制作工程表!$H$31,"公",""))</f>
        <v/>
      </c>
      <c r="DH9" s="44" t="str">
        <f aca="false">IF(OR(DH$7=制作工程表!$E$4,DH$7=制作工程表!$H$4),"撮",IF(DH$7=制作工程表!$H$31,"公",""))</f>
        <v/>
      </c>
      <c r="DI9" s="44" t="str">
        <f aca="false">IF(OR(DI$7=制作工程表!$E$4,DI$7=制作工程表!$H$4),"撮",IF(DI$7=制作工程表!$H$31,"公",""))</f>
        <v/>
      </c>
      <c r="DJ9" s="44" t="str">
        <f aca="false">IF(OR(DJ$7=制作工程表!$E$4,DJ$7=制作工程表!$H$4),"撮",IF(DJ$7=制作工程表!$H$31,"公",""))</f>
        <v/>
      </c>
      <c r="DK9" s="44" t="str">
        <f aca="false">IF(OR(DK$7=制作工程表!$E$4,DK$7=制作工程表!$H$4),"撮",IF(DK$7=制作工程表!$H$31,"公",""))</f>
        <v/>
      </c>
      <c r="DL9" s="44" t="str">
        <f aca="false">IF(OR(DL$7=制作工程表!$E$4,DL$7=制作工程表!$H$4),"撮",IF(DL$7=制作工程表!$H$31,"公",""))</f>
        <v/>
      </c>
      <c r="DM9" s="44" t="str">
        <f aca="false">IF(OR(DM$7=制作工程表!$E$4,DM$7=制作工程表!$H$4),"撮",IF(DM$7=制作工程表!$H$31,"公",""))</f>
        <v/>
      </c>
      <c r="DN9" s="44" t="str">
        <f aca="false">IF(OR(DN$7=制作工程表!$E$4,DN$7=制作工程表!$H$4),"撮",IF(DN$7=制作工程表!$H$31,"公",""))</f>
        <v/>
      </c>
      <c r="DO9" s="44" t="str">
        <f aca="false">IF(OR(DO$7=制作工程表!$E$4,DO$7=制作工程表!$H$4),"撮",IF(DO$7=制作工程表!$H$31,"公",""))</f>
        <v/>
      </c>
      <c r="DP9" s="44" t="str">
        <f aca="false">IF(OR(DP$7=制作工程表!$E$4,DP$7=制作工程表!$H$4),"撮",IF(DP$7=制作工程表!$H$31,"公",""))</f>
        <v/>
      </c>
      <c r="DQ9" s="44" t="str">
        <f aca="false">IF(OR(DQ$7=制作工程表!$E$4,DQ$7=制作工程表!$H$4),"撮",IF(DQ$7=制作工程表!$H$31,"公",""))</f>
        <v/>
      </c>
      <c r="DR9" s="44" t="str">
        <f aca="false">IF(OR(DR$7=制作工程表!$E$4,DR$7=制作工程表!$H$4),"撮",IF(DR$7=制作工程表!$H$31,"公",""))</f>
        <v/>
      </c>
      <c r="DS9" s="44" t="str">
        <f aca="false">IF(OR(DS$7=制作工程表!$E$4,DS$7=制作工程表!$H$4),"撮",IF(DS$7=制作工程表!$H$31,"公",""))</f>
        <v/>
      </c>
      <c r="DT9" s="44" t="str">
        <f aca="false">IF(OR(DT$7=制作工程表!$E$4,DT$7=制作工程表!$H$4),"撮",IF(DT$7=制作工程表!$H$31,"公",""))</f>
        <v/>
      </c>
      <c r="DU9" s="44" t="str">
        <f aca="false">IF(OR(DU$7=制作工程表!$E$4,DU$7=制作工程表!$H$4),"撮",IF(DU$7=制作工程表!$H$31,"公",""))</f>
        <v/>
      </c>
      <c r="DV9" s="44" t="str">
        <f aca="false">IF(OR(DV$7=制作工程表!$E$4,DV$7=制作工程表!$H$4),"撮",IF(DV$7=制作工程表!$H$31,"公",""))</f>
        <v/>
      </c>
      <c r="DW9" s="44" t="str">
        <f aca="false">IF(OR(DW$7=制作工程表!$E$4,DW$7=制作工程表!$H$4),"撮",IF(DW$7=制作工程表!$H$31,"公",""))</f>
        <v/>
      </c>
      <c r="DX9" s="44" t="str">
        <f aca="false">IF(OR(DX$7=制作工程表!$E$4,DX$7=制作工程表!$H$4),"撮",IF(DX$7=制作工程表!$H$31,"公",""))</f>
        <v/>
      </c>
      <c r="DY9" s="44" t="str">
        <f aca="false">IF(OR(DY$7=制作工程表!$E$4,DY$7=制作工程表!$H$4),"撮",IF(DY$7=制作工程表!$H$31,"公",""))</f>
        <v/>
      </c>
      <c r="DZ9" s="44" t="str">
        <f aca="false">IF(OR(DZ$7=制作工程表!$E$4,DZ$7=制作工程表!$H$4),"撮",IF(DZ$7=制作工程表!$H$31,"公",""))</f>
        <v/>
      </c>
      <c r="EA9" s="44" t="str">
        <f aca="false">IF(OR(EA$7=制作工程表!$E$4,EA$7=制作工程表!$H$4),"撮",IF(EA$7=制作工程表!$H$31,"公",""))</f>
        <v/>
      </c>
      <c r="EB9" s="44" t="str">
        <f aca="false">IF(OR(EB$7=制作工程表!$E$4,EB$7=制作工程表!$H$4),"撮",IF(EB$7=制作工程表!$H$31,"公",""))</f>
        <v/>
      </c>
      <c r="EC9" s="44" t="str">
        <f aca="false">IF(OR(EC$7=制作工程表!$E$4,EC$7=制作工程表!$H$4),"撮",IF(EC$7=制作工程表!$H$31,"公",""))</f>
        <v/>
      </c>
      <c r="ED9" s="44" t="str">
        <f aca="false">IF(OR(ED$7=制作工程表!$E$4,ED$7=制作工程表!$H$4),"撮",IF(ED$7=制作工程表!$H$31,"公",""))</f>
        <v>公</v>
      </c>
      <c r="EE9" s="44" t="str">
        <f aca="false">IF(OR(EE$7=制作工程表!$E$4,EE$7=制作工程表!$H$4),"撮",IF(EE$7=制作工程表!$H$31,"公",""))</f>
        <v/>
      </c>
      <c r="EF9" s="44" t="str">
        <f aca="false">IF(OR(EF$7=制作工程表!$E$4,EF$7=制作工程表!$H$4),"撮",IF(EF$7=制作工程表!$H$31,"公",""))</f>
        <v/>
      </c>
      <c r="EG9" s="44" t="str">
        <f aca="false">IF(OR(EG$7=制作工程表!$E$4,EG$7=制作工程表!$H$4),"撮",IF(EG$7=制作工程表!$H$31,"公",""))</f>
        <v/>
      </c>
      <c r="EH9" s="44" t="str">
        <f aca="false">IF(OR(EH$7=制作工程表!$E$4,EH$7=制作工程表!$H$4),"撮",IF(EH$7=制作工程表!$H$31,"公",""))</f>
        <v/>
      </c>
      <c r="EI9" s="44" t="str">
        <f aca="false">IF(OR(EI$7=制作工程表!$E$4,EI$7=制作工程表!$H$4),"撮",IF(EI$7=制作工程表!$H$31,"公",""))</f>
        <v/>
      </c>
      <c r="EJ9" s="44" t="str">
        <f aca="false">IF(OR(EJ$7=制作工程表!$E$4,EJ$7=制作工程表!$H$4),"撮",IF(EJ$7=制作工程表!$H$31,"公",""))</f>
        <v/>
      </c>
      <c r="EK9" s="44" t="str">
        <f aca="false">IF(OR(EK$7=制作工程表!$E$4,EK$7=制作工程表!$H$4),"撮",IF(EK$7=制作工程表!$H$31,"公",""))</f>
        <v/>
      </c>
      <c r="EL9" s="44" t="str">
        <f aca="false">IF(OR(EL$7=制作工程表!$E$4,EL$7=制作工程表!$H$4),"撮",IF(EL$7=制作工程表!$H$31,"公",""))</f>
        <v/>
      </c>
      <c r="EM9" s="44" t="str">
        <f aca="false">IF(OR(EM$7=制作工程表!$E$4,EM$7=制作工程表!$H$4),"撮",IF(EM$7=制作工程表!$H$31,"公",""))</f>
        <v/>
      </c>
    </row>
    <row r="10" customFormat="false" ht="21.75" hidden="false" customHeight="true" outlineLevel="0" collapsed="false">
      <c r="A10" s="45" t="s">
        <v>73</v>
      </c>
      <c r="B10" s="45"/>
      <c r="C10" s="45"/>
      <c r="D10" s="45"/>
      <c r="E10" s="45"/>
      <c r="F10" s="46" t="s">
        <v>74</v>
      </c>
      <c r="G10" s="47" t="n">
        <f aca="false">MIN(制作工程表!G9:G13)</f>
        <v>46328</v>
      </c>
      <c r="H10" s="47" t="n">
        <f aca="false">MAX(制作工程表!H9:H13)</f>
        <v>46365</v>
      </c>
      <c r="I10" s="47" t="n">
        <f aca="false">IF(MAX(制作工程表!I9:I13)=0,"—",MAX(制作工程表!I9:I13))</f>
        <v>46365</v>
      </c>
      <c r="J10" s="48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</row>
    <row r="11" customFormat="false" ht="25.5" hidden="false" customHeight="true" outlineLevel="0" collapsed="false">
      <c r="A11" s="50" t="str">
        <f aca="false">制作工程表!A9</f>
        <v>T01</v>
      </c>
      <c r="B11" s="51" t="str">
        <f aca="false">制作工程表!B9</f>
        <v>企画</v>
      </c>
      <c r="C11" s="52" t="str">
        <f aca="false">制作工程表!C9</f>
        <v>キックオフ・ヒアリング</v>
      </c>
      <c r="D11" s="53" t="str">
        <f aca="false">制作工程表!D9</f>
        <v>編集ディレクター</v>
      </c>
      <c r="E11" s="53" t="str">
        <f aca="false">制作工程表!E9</f>
        <v>総務窓口</v>
      </c>
      <c r="F11" s="54" t="str">
        <f aca="false">IF(制作工程表!B9="取材撮影","撮影",IF(OR(制作工程表!D9="総務窓口",制作工程表!D9="工場長",制作工程表!D9="代表",制作工程表!D9="営業・生産管理"),"企業","制作"))</f>
        <v>制作</v>
      </c>
      <c r="G11" s="55" t="n">
        <f aca="false">制作工程表!G9</f>
        <v>46328</v>
      </c>
      <c r="H11" s="55" t="n">
        <f aca="false">制作工程表!H9</f>
        <v>46328</v>
      </c>
      <c r="I11" s="56" t="str">
        <f aca="false">制作工程表!I9</f>
        <v>—</v>
      </c>
      <c r="J11" s="51" t="str">
        <f aca="false">制作工程表!K9</f>
        <v>未着手</v>
      </c>
      <c r="K11" s="57" t="str">
        <f aca="false">IF(AND(K$7=$I11,ISNUMBER($I11)),"◆","")</f>
        <v/>
      </c>
      <c r="L11" s="57" t="str">
        <f aca="false">IF(AND(L$7=$I11,ISNUMBER($I11)),"◆","")</f>
        <v/>
      </c>
      <c r="M11" s="57" t="str">
        <f aca="false">IF(AND(M$7=$I11,ISNUMBER($I11)),"◆","")</f>
        <v/>
      </c>
      <c r="N11" s="57" t="str">
        <f aca="false">IF(AND(N$7=$I11,ISNUMBER($I11)),"◆","")</f>
        <v/>
      </c>
      <c r="O11" s="57" t="str">
        <f aca="false">IF(AND(O$7=$I11,ISNUMBER($I11)),"◆","")</f>
        <v/>
      </c>
      <c r="P11" s="57" t="str">
        <f aca="false">IF(AND(P$7=$I11,ISNUMBER($I11)),"◆","")</f>
        <v/>
      </c>
      <c r="Q11" s="57" t="str">
        <f aca="false">IF(AND(Q$7=$I11,ISNUMBER($I11)),"◆","")</f>
        <v/>
      </c>
      <c r="R11" s="57" t="str">
        <f aca="false">IF(AND(R$7=$I11,ISNUMBER($I11)),"◆","")</f>
        <v/>
      </c>
      <c r="S11" s="57" t="str">
        <f aca="false">IF(AND(S$7=$I11,ISNUMBER($I11)),"◆","")</f>
        <v/>
      </c>
      <c r="T11" s="57" t="str">
        <f aca="false">IF(AND(T$7=$I11,ISNUMBER($I11)),"◆","")</f>
        <v/>
      </c>
      <c r="U11" s="57" t="str">
        <f aca="false">IF(AND(U$7=$I11,ISNUMBER($I11)),"◆","")</f>
        <v/>
      </c>
      <c r="V11" s="57" t="str">
        <f aca="false">IF(AND(V$7=$I11,ISNUMBER($I11)),"◆","")</f>
        <v/>
      </c>
      <c r="W11" s="57" t="str">
        <f aca="false">IF(AND(W$7=$I11,ISNUMBER($I11)),"◆","")</f>
        <v/>
      </c>
      <c r="X11" s="57" t="str">
        <f aca="false">IF(AND(X$7=$I11,ISNUMBER($I11)),"◆","")</f>
        <v/>
      </c>
      <c r="Y11" s="57" t="str">
        <f aca="false">IF(AND(Y$7=$I11,ISNUMBER($I11)),"◆","")</f>
        <v/>
      </c>
      <c r="Z11" s="57" t="str">
        <f aca="false">IF(AND(Z$7=$I11,ISNUMBER($I11)),"◆","")</f>
        <v/>
      </c>
      <c r="AA11" s="57" t="str">
        <f aca="false">IF(AND(AA$7=$I11,ISNUMBER($I11)),"◆","")</f>
        <v/>
      </c>
      <c r="AB11" s="57" t="str">
        <f aca="false">IF(AND(AB$7=$I11,ISNUMBER($I11)),"◆","")</f>
        <v/>
      </c>
      <c r="AC11" s="57" t="str">
        <f aca="false">IF(AND(AC$7=$I11,ISNUMBER($I11)),"◆","")</f>
        <v/>
      </c>
      <c r="AD11" s="57" t="str">
        <f aca="false">IF(AND(AD$7=$I11,ISNUMBER($I11)),"◆","")</f>
        <v/>
      </c>
      <c r="AE11" s="57" t="str">
        <f aca="false">IF(AND(AE$7=$I11,ISNUMBER($I11)),"◆","")</f>
        <v/>
      </c>
      <c r="AF11" s="57" t="str">
        <f aca="false">IF(AND(AF$7=$I11,ISNUMBER($I11)),"◆","")</f>
        <v/>
      </c>
      <c r="AG11" s="57" t="str">
        <f aca="false">IF(AND(AG$7=$I11,ISNUMBER($I11)),"◆","")</f>
        <v/>
      </c>
      <c r="AH11" s="57" t="str">
        <f aca="false">IF(AND(AH$7=$I11,ISNUMBER($I11)),"◆","")</f>
        <v/>
      </c>
      <c r="AI11" s="57" t="str">
        <f aca="false">IF(AND(AI$7=$I11,ISNUMBER($I11)),"◆","")</f>
        <v/>
      </c>
      <c r="AJ11" s="57" t="str">
        <f aca="false">IF(AND(AJ$7=$I11,ISNUMBER($I11)),"◆","")</f>
        <v/>
      </c>
      <c r="AK11" s="57" t="str">
        <f aca="false">IF(AND(AK$7=$I11,ISNUMBER($I11)),"◆","")</f>
        <v/>
      </c>
      <c r="AL11" s="57" t="str">
        <f aca="false">IF(AND(AL$7=$I11,ISNUMBER($I11)),"◆","")</f>
        <v/>
      </c>
      <c r="AM11" s="57" t="str">
        <f aca="false">IF(AND(AM$7=$I11,ISNUMBER($I11)),"◆","")</f>
        <v/>
      </c>
      <c r="AN11" s="57" t="str">
        <f aca="false">IF(AND(AN$7=$I11,ISNUMBER($I11)),"◆","")</f>
        <v/>
      </c>
      <c r="AO11" s="57" t="str">
        <f aca="false">IF(AND(AO$7=$I11,ISNUMBER($I11)),"◆","")</f>
        <v/>
      </c>
      <c r="AP11" s="57" t="str">
        <f aca="false">IF(AND(AP$7=$I11,ISNUMBER($I11)),"◆","")</f>
        <v/>
      </c>
      <c r="AQ11" s="57" t="str">
        <f aca="false">IF(AND(AQ$7=$I11,ISNUMBER($I11)),"◆","")</f>
        <v/>
      </c>
      <c r="AR11" s="57" t="str">
        <f aca="false">IF(AND(AR$7=$I11,ISNUMBER($I11)),"◆","")</f>
        <v/>
      </c>
      <c r="AS11" s="57" t="str">
        <f aca="false">IF(AND(AS$7=$I11,ISNUMBER($I11)),"◆","")</f>
        <v/>
      </c>
      <c r="AT11" s="57" t="str">
        <f aca="false">IF(AND(AT$7=$I11,ISNUMBER($I11)),"◆","")</f>
        <v/>
      </c>
      <c r="AU11" s="57" t="str">
        <f aca="false">IF(AND(AU$7=$I11,ISNUMBER($I11)),"◆","")</f>
        <v/>
      </c>
      <c r="AV11" s="57" t="str">
        <f aca="false">IF(AND(AV$7=$I11,ISNUMBER($I11)),"◆","")</f>
        <v/>
      </c>
      <c r="AW11" s="57" t="str">
        <f aca="false">IF(AND(AW$7=$I11,ISNUMBER($I11)),"◆","")</f>
        <v/>
      </c>
      <c r="AX11" s="57" t="str">
        <f aca="false">IF(AND(AX$7=$I11,ISNUMBER($I11)),"◆","")</f>
        <v/>
      </c>
      <c r="AY11" s="57" t="str">
        <f aca="false">IF(AND(AY$7=$I11,ISNUMBER($I11)),"◆","")</f>
        <v/>
      </c>
      <c r="AZ11" s="57" t="str">
        <f aca="false">IF(AND(AZ$7=$I11,ISNUMBER($I11)),"◆","")</f>
        <v/>
      </c>
      <c r="BA11" s="57" t="str">
        <f aca="false">IF(AND(BA$7=$I11,ISNUMBER($I11)),"◆","")</f>
        <v/>
      </c>
      <c r="BB11" s="57" t="str">
        <f aca="false">IF(AND(BB$7=$I11,ISNUMBER($I11)),"◆","")</f>
        <v/>
      </c>
      <c r="BC11" s="57" t="str">
        <f aca="false">IF(AND(BC$7=$I11,ISNUMBER($I11)),"◆","")</f>
        <v/>
      </c>
      <c r="BD11" s="57" t="str">
        <f aca="false">IF(AND(BD$7=$I11,ISNUMBER($I11)),"◆","")</f>
        <v/>
      </c>
      <c r="BE11" s="57" t="str">
        <f aca="false">IF(AND(BE$7=$I11,ISNUMBER($I11)),"◆","")</f>
        <v/>
      </c>
      <c r="BF11" s="57" t="str">
        <f aca="false">IF(AND(BF$7=$I11,ISNUMBER($I11)),"◆","")</f>
        <v/>
      </c>
      <c r="BG11" s="57" t="str">
        <f aca="false">IF(AND(BG$7=$I11,ISNUMBER($I11)),"◆","")</f>
        <v/>
      </c>
      <c r="BH11" s="57" t="str">
        <f aca="false">IF(AND(BH$7=$I11,ISNUMBER($I11)),"◆","")</f>
        <v/>
      </c>
      <c r="BI11" s="57" t="str">
        <f aca="false">IF(AND(BI$7=$I11,ISNUMBER($I11)),"◆","")</f>
        <v/>
      </c>
      <c r="BJ11" s="57" t="str">
        <f aca="false">IF(AND(BJ$7=$I11,ISNUMBER($I11)),"◆","")</f>
        <v/>
      </c>
      <c r="BK11" s="57" t="str">
        <f aca="false">IF(AND(BK$7=$I11,ISNUMBER($I11)),"◆","")</f>
        <v/>
      </c>
      <c r="BL11" s="57" t="str">
        <f aca="false">IF(AND(BL$7=$I11,ISNUMBER($I11)),"◆","")</f>
        <v/>
      </c>
      <c r="BM11" s="57" t="str">
        <f aca="false">IF(AND(BM$7=$I11,ISNUMBER($I11)),"◆","")</f>
        <v/>
      </c>
      <c r="BN11" s="57" t="str">
        <f aca="false">IF(AND(BN$7=$I11,ISNUMBER($I11)),"◆","")</f>
        <v/>
      </c>
      <c r="BO11" s="57" t="str">
        <f aca="false">IF(AND(BO$7=$I11,ISNUMBER($I11)),"◆","")</f>
        <v/>
      </c>
      <c r="BP11" s="57" t="str">
        <f aca="false">IF(AND(BP$7=$I11,ISNUMBER($I11)),"◆","")</f>
        <v/>
      </c>
      <c r="BQ11" s="57" t="str">
        <f aca="false">IF(AND(BQ$7=$I11,ISNUMBER($I11)),"◆","")</f>
        <v/>
      </c>
      <c r="BR11" s="57" t="str">
        <f aca="false">IF(AND(BR$7=$I11,ISNUMBER($I11)),"◆","")</f>
        <v/>
      </c>
      <c r="BS11" s="57" t="str">
        <f aca="false">IF(AND(BS$7=$I11,ISNUMBER($I11)),"◆","")</f>
        <v/>
      </c>
      <c r="BT11" s="57" t="str">
        <f aca="false">IF(AND(BT$7=$I11,ISNUMBER($I11)),"◆","")</f>
        <v/>
      </c>
      <c r="BU11" s="57" t="str">
        <f aca="false">IF(AND(BU$7=$I11,ISNUMBER($I11)),"◆","")</f>
        <v/>
      </c>
      <c r="BV11" s="57" t="str">
        <f aca="false">IF(AND(BV$7=$I11,ISNUMBER($I11)),"◆","")</f>
        <v/>
      </c>
      <c r="BW11" s="57" t="str">
        <f aca="false">IF(AND(BW$7=$I11,ISNUMBER($I11)),"◆","")</f>
        <v/>
      </c>
      <c r="BX11" s="57" t="str">
        <f aca="false">IF(AND(BX$7=$I11,ISNUMBER($I11)),"◆","")</f>
        <v/>
      </c>
      <c r="BY11" s="57" t="str">
        <f aca="false">IF(AND(BY$7=$I11,ISNUMBER($I11)),"◆","")</f>
        <v/>
      </c>
      <c r="BZ11" s="57" t="str">
        <f aca="false">IF(AND(BZ$7=$I11,ISNUMBER($I11)),"◆","")</f>
        <v/>
      </c>
      <c r="CA11" s="57" t="str">
        <f aca="false">IF(AND(CA$7=$I11,ISNUMBER($I11)),"◆","")</f>
        <v/>
      </c>
      <c r="CB11" s="57" t="str">
        <f aca="false">IF(AND(CB$7=$I11,ISNUMBER($I11)),"◆","")</f>
        <v/>
      </c>
      <c r="CC11" s="57" t="str">
        <f aca="false">IF(AND(CC$7=$I11,ISNUMBER($I11)),"◆","")</f>
        <v/>
      </c>
      <c r="CD11" s="57" t="str">
        <f aca="false">IF(AND(CD$7=$I11,ISNUMBER($I11)),"◆","")</f>
        <v/>
      </c>
      <c r="CE11" s="57" t="str">
        <f aca="false">IF(AND(CE$7=$I11,ISNUMBER($I11)),"◆","")</f>
        <v/>
      </c>
      <c r="CF11" s="57" t="str">
        <f aca="false">IF(AND(CF$7=$I11,ISNUMBER($I11)),"◆","")</f>
        <v/>
      </c>
      <c r="CG11" s="57" t="str">
        <f aca="false">IF(AND(CG$7=$I11,ISNUMBER($I11)),"◆","")</f>
        <v/>
      </c>
      <c r="CH11" s="57" t="str">
        <f aca="false">IF(AND(CH$7=$I11,ISNUMBER($I11)),"◆","")</f>
        <v/>
      </c>
      <c r="CI11" s="57" t="str">
        <f aca="false">IF(AND(CI$7=$I11,ISNUMBER($I11)),"◆","")</f>
        <v/>
      </c>
      <c r="CJ11" s="57" t="str">
        <f aca="false">IF(AND(CJ$7=$I11,ISNUMBER($I11)),"◆","")</f>
        <v/>
      </c>
      <c r="CK11" s="57" t="str">
        <f aca="false">IF(AND(CK$7=$I11,ISNUMBER($I11)),"◆","")</f>
        <v/>
      </c>
      <c r="CL11" s="57" t="str">
        <f aca="false">IF(AND(CL$7=$I11,ISNUMBER($I11)),"◆","")</f>
        <v/>
      </c>
      <c r="CM11" s="57" t="str">
        <f aca="false">IF(AND(CM$7=$I11,ISNUMBER($I11)),"◆","")</f>
        <v/>
      </c>
      <c r="CN11" s="57" t="str">
        <f aca="false">IF(AND(CN$7=$I11,ISNUMBER($I11)),"◆","")</f>
        <v/>
      </c>
      <c r="CO11" s="57" t="str">
        <f aca="false">IF(AND(CO$7=$I11,ISNUMBER($I11)),"◆","")</f>
        <v/>
      </c>
      <c r="CP11" s="57" t="str">
        <f aca="false">IF(AND(CP$7=$I11,ISNUMBER($I11)),"◆","")</f>
        <v/>
      </c>
      <c r="CQ11" s="57" t="str">
        <f aca="false">IF(AND(CQ$7=$I11,ISNUMBER($I11)),"◆","")</f>
        <v/>
      </c>
      <c r="CR11" s="57" t="str">
        <f aca="false">IF(AND(CR$7=$I11,ISNUMBER($I11)),"◆","")</f>
        <v/>
      </c>
      <c r="CS11" s="57" t="str">
        <f aca="false">IF(AND(CS$7=$I11,ISNUMBER($I11)),"◆","")</f>
        <v/>
      </c>
      <c r="CT11" s="57" t="str">
        <f aca="false">IF(AND(CT$7=$I11,ISNUMBER($I11)),"◆","")</f>
        <v/>
      </c>
      <c r="CU11" s="57" t="str">
        <f aca="false">IF(AND(CU$7=$I11,ISNUMBER($I11)),"◆","")</f>
        <v/>
      </c>
      <c r="CV11" s="57" t="str">
        <f aca="false">IF(AND(CV$7=$I11,ISNUMBER($I11)),"◆","")</f>
        <v/>
      </c>
      <c r="CW11" s="57" t="str">
        <f aca="false">IF(AND(CW$7=$I11,ISNUMBER($I11)),"◆","")</f>
        <v/>
      </c>
      <c r="CX11" s="57" t="str">
        <f aca="false">IF(AND(CX$7=$I11,ISNUMBER($I11)),"◆","")</f>
        <v/>
      </c>
      <c r="CY11" s="57" t="str">
        <f aca="false">IF(AND(CY$7=$I11,ISNUMBER($I11)),"◆","")</f>
        <v/>
      </c>
      <c r="CZ11" s="57" t="str">
        <f aca="false">IF(AND(CZ$7=$I11,ISNUMBER($I11)),"◆","")</f>
        <v/>
      </c>
      <c r="DA11" s="57" t="str">
        <f aca="false">IF(AND(DA$7=$I11,ISNUMBER($I11)),"◆","")</f>
        <v/>
      </c>
      <c r="DB11" s="57" t="str">
        <f aca="false">IF(AND(DB$7=$I11,ISNUMBER($I11)),"◆","")</f>
        <v/>
      </c>
      <c r="DC11" s="57" t="str">
        <f aca="false">IF(AND(DC$7=$I11,ISNUMBER($I11)),"◆","")</f>
        <v/>
      </c>
      <c r="DD11" s="57" t="str">
        <f aca="false">IF(AND(DD$7=$I11,ISNUMBER($I11)),"◆","")</f>
        <v/>
      </c>
      <c r="DE11" s="57" t="str">
        <f aca="false">IF(AND(DE$7=$I11,ISNUMBER($I11)),"◆","")</f>
        <v/>
      </c>
      <c r="DF11" s="57" t="str">
        <f aca="false">IF(AND(DF$7=$I11,ISNUMBER($I11)),"◆","")</f>
        <v/>
      </c>
      <c r="DG11" s="57" t="str">
        <f aca="false">IF(AND(DG$7=$I11,ISNUMBER($I11)),"◆","")</f>
        <v/>
      </c>
      <c r="DH11" s="57" t="str">
        <f aca="false">IF(AND(DH$7=$I11,ISNUMBER($I11)),"◆","")</f>
        <v/>
      </c>
      <c r="DI11" s="57" t="str">
        <f aca="false">IF(AND(DI$7=$I11,ISNUMBER($I11)),"◆","")</f>
        <v/>
      </c>
      <c r="DJ11" s="57" t="str">
        <f aca="false">IF(AND(DJ$7=$I11,ISNUMBER($I11)),"◆","")</f>
        <v/>
      </c>
      <c r="DK11" s="57" t="str">
        <f aca="false">IF(AND(DK$7=$I11,ISNUMBER($I11)),"◆","")</f>
        <v/>
      </c>
      <c r="DL11" s="57" t="str">
        <f aca="false">IF(AND(DL$7=$I11,ISNUMBER($I11)),"◆","")</f>
        <v/>
      </c>
      <c r="DM11" s="57" t="str">
        <f aca="false">IF(AND(DM$7=$I11,ISNUMBER($I11)),"◆","")</f>
        <v/>
      </c>
      <c r="DN11" s="57" t="str">
        <f aca="false">IF(AND(DN$7=$I11,ISNUMBER($I11)),"◆","")</f>
        <v/>
      </c>
      <c r="DO11" s="57" t="str">
        <f aca="false">IF(AND(DO$7=$I11,ISNUMBER($I11)),"◆","")</f>
        <v/>
      </c>
      <c r="DP11" s="57" t="str">
        <f aca="false">IF(AND(DP$7=$I11,ISNUMBER($I11)),"◆","")</f>
        <v/>
      </c>
      <c r="DQ11" s="57" t="str">
        <f aca="false">IF(AND(DQ$7=$I11,ISNUMBER($I11)),"◆","")</f>
        <v/>
      </c>
      <c r="DR11" s="57" t="str">
        <f aca="false">IF(AND(DR$7=$I11,ISNUMBER($I11)),"◆","")</f>
        <v/>
      </c>
      <c r="DS11" s="57" t="str">
        <f aca="false">IF(AND(DS$7=$I11,ISNUMBER($I11)),"◆","")</f>
        <v/>
      </c>
      <c r="DT11" s="57" t="str">
        <f aca="false">IF(AND(DT$7=$I11,ISNUMBER($I11)),"◆","")</f>
        <v/>
      </c>
      <c r="DU11" s="57" t="str">
        <f aca="false">IF(AND(DU$7=$I11,ISNUMBER($I11)),"◆","")</f>
        <v/>
      </c>
      <c r="DV11" s="57" t="str">
        <f aca="false">IF(AND(DV$7=$I11,ISNUMBER($I11)),"◆","")</f>
        <v/>
      </c>
      <c r="DW11" s="57" t="str">
        <f aca="false">IF(AND(DW$7=$I11,ISNUMBER($I11)),"◆","")</f>
        <v/>
      </c>
      <c r="DX11" s="57" t="str">
        <f aca="false">IF(AND(DX$7=$I11,ISNUMBER($I11)),"◆","")</f>
        <v/>
      </c>
      <c r="DY11" s="57" t="str">
        <f aca="false">IF(AND(DY$7=$I11,ISNUMBER($I11)),"◆","")</f>
        <v/>
      </c>
      <c r="DZ11" s="57" t="str">
        <f aca="false">IF(AND(DZ$7=$I11,ISNUMBER($I11)),"◆","")</f>
        <v/>
      </c>
      <c r="EA11" s="57" t="str">
        <f aca="false">IF(AND(EA$7=$I11,ISNUMBER($I11)),"◆","")</f>
        <v/>
      </c>
      <c r="EB11" s="57" t="str">
        <f aca="false">IF(AND(EB$7=$I11,ISNUMBER($I11)),"◆","")</f>
        <v/>
      </c>
      <c r="EC11" s="57" t="str">
        <f aca="false">IF(AND(EC$7=$I11,ISNUMBER($I11)),"◆","")</f>
        <v/>
      </c>
      <c r="ED11" s="57" t="str">
        <f aca="false">IF(AND(ED$7=$I11,ISNUMBER($I11)),"◆","")</f>
        <v/>
      </c>
      <c r="EE11" s="57" t="str">
        <f aca="false">IF(AND(EE$7=$I11,ISNUMBER($I11)),"◆","")</f>
        <v/>
      </c>
      <c r="EF11" s="57" t="str">
        <f aca="false">IF(AND(EF$7=$I11,ISNUMBER($I11)),"◆","")</f>
        <v/>
      </c>
      <c r="EG11" s="57" t="str">
        <f aca="false">IF(AND(EG$7=$I11,ISNUMBER($I11)),"◆","")</f>
        <v/>
      </c>
      <c r="EH11" s="57" t="str">
        <f aca="false">IF(AND(EH$7=$I11,ISNUMBER($I11)),"◆","")</f>
        <v/>
      </c>
      <c r="EI11" s="57" t="str">
        <f aca="false">IF(AND(EI$7=$I11,ISNUMBER($I11)),"◆","")</f>
        <v/>
      </c>
      <c r="EJ11" s="57" t="str">
        <f aca="false">IF(AND(EJ$7=$I11,ISNUMBER($I11)),"◆","")</f>
        <v/>
      </c>
      <c r="EK11" s="57" t="str">
        <f aca="false">IF(AND(EK$7=$I11,ISNUMBER($I11)),"◆","")</f>
        <v/>
      </c>
      <c r="EL11" s="57" t="str">
        <f aca="false">IF(AND(EL$7=$I11,ISNUMBER($I11)),"◆","")</f>
        <v/>
      </c>
      <c r="EM11" s="57" t="str">
        <f aca="false">IF(AND(EM$7=$I11,ISNUMBER($I11)),"◆","")</f>
        <v/>
      </c>
    </row>
    <row r="12" customFormat="false" ht="25.5" hidden="false" customHeight="true" outlineLevel="0" collapsed="false">
      <c r="A12" s="50" t="str">
        <f aca="false">制作工程表!A10</f>
        <v>T02</v>
      </c>
      <c r="B12" s="51" t="str">
        <f aca="false">制作工程表!B10</f>
        <v>企画</v>
      </c>
      <c r="C12" s="52" t="str">
        <f aca="false">制作工程表!C10</f>
        <v>現状調査・構成案の作成</v>
      </c>
      <c r="D12" s="53" t="str">
        <f aca="false">制作工程表!D10</f>
        <v>編集ディレクター</v>
      </c>
      <c r="E12" s="53" t="str">
        <f aca="false">制作工程表!E10</f>
        <v>—</v>
      </c>
      <c r="F12" s="54" t="str">
        <f aca="false">IF(制作工程表!B10="取材撮影","撮影",IF(OR(制作工程表!D10="総務窓口",制作工程表!D10="工場長",制作工程表!D10="代表",制作工程表!D10="営業・生産管理"),"企業","制作"))</f>
        <v>制作</v>
      </c>
      <c r="G12" s="55" t="n">
        <f aca="false">制作工程表!G10</f>
        <v>46330</v>
      </c>
      <c r="H12" s="55" t="n">
        <f aca="false">制作工程表!H10</f>
        <v>46337</v>
      </c>
      <c r="I12" s="56" t="str">
        <f aca="false">制作工程表!I10</f>
        <v>—</v>
      </c>
      <c r="J12" s="51" t="str">
        <f aca="false">制作工程表!K10</f>
        <v>未着手</v>
      </c>
      <c r="K12" s="57" t="str">
        <f aca="false">IF(AND(K$7=$I12,ISNUMBER($I12)),"◆","")</f>
        <v/>
      </c>
      <c r="L12" s="57" t="str">
        <f aca="false">IF(AND(L$7=$I12,ISNUMBER($I12)),"◆","")</f>
        <v/>
      </c>
      <c r="M12" s="57" t="str">
        <f aca="false">IF(AND(M$7=$I12,ISNUMBER($I12)),"◆","")</f>
        <v/>
      </c>
      <c r="N12" s="57" t="str">
        <f aca="false">IF(AND(N$7=$I12,ISNUMBER($I12)),"◆","")</f>
        <v/>
      </c>
      <c r="O12" s="57" t="str">
        <f aca="false">IF(AND(O$7=$I12,ISNUMBER($I12)),"◆","")</f>
        <v/>
      </c>
      <c r="P12" s="57" t="str">
        <f aca="false">IF(AND(P$7=$I12,ISNUMBER($I12)),"◆","")</f>
        <v/>
      </c>
      <c r="Q12" s="57" t="str">
        <f aca="false">IF(AND(Q$7=$I12,ISNUMBER($I12)),"◆","")</f>
        <v/>
      </c>
      <c r="R12" s="57" t="str">
        <f aca="false">IF(AND(R$7=$I12,ISNUMBER($I12)),"◆","")</f>
        <v/>
      </c>
      <c r="S12" s="57" t="str">
        <f aca="false">IF(AND(S$7=$I12,ISNUMBER($I12)),"◆","")</f>
        <v/>
      </c>
      <c r="T12" s="57" t="str">
        <f aca="false">IF(AND(T$7=$I12,ISNUMBER($I12)),"◆","")</f>
        <v/>
      </c>
      <c r="U12" s="57" t="str">
        <f aca="false">IF(AND(U$7=$I12,ISNUMBER($I12)),"◆","")</f>
        <v/>
      </c>
      <c r="V12" s="57" t="str">
        <f aca="false">IF(AND(V$7=$I12,ISNUMBER($I12)),"◆","")</f>
        <v/>
      </c>
      <c r="W12" s="57" t="str">
        <f aca="false">IF(AND(W$7=$I12,ISNUMBER($I12)),"◆","")</f>
        <v/>
      </c>
      <c r="X12" s="57" t="str">
        <f aca="false">IF(AND(X$7=$I12,ISNUMBER($I12)),"◆","")</f>
        <v/>
      </c>
      <c r="Y12" s="57" t="str">
        <f aca="false">IF(AND(Y$7=$I12,ISNUMBER($I12)),"◆","")</f>
        <v/>
      </c>
      <c r="Z12" s="57" t="str">
        <f aca="false">IF(AND(Z$7=$I12,ISNUMBER($I12)),"◆","")</f>
        <v/>
      </c>
      <c r="AA12" s="57" t="str">
        <f aca="false">IF(AND(AA$7=$I12,ISNUMBER($I12)),"◆","")</f>
        <v/>
      </c>
      <c r="AB12" s="57" t="str">
        <f aca="false">IF(AND(AB$7=$I12,ISNUMBER($I12)),"◆","")</f>
        <v/>
      </c>
      <c r="AC12" s="57" t="str">
        <f aca="false">IF(AND(AC$7=$I12,ISNUMBER($I12)),"◆","")</f>
        <v/>
      </c>
      <c r="AD12" s="57" t="str">
        <f aca="false">IF(AND(AD$7=$I12,ISNUMBER($I12)),"◆","")</f>
        <v/>
      </c>
      <c r="AE12" s="57" t="str">
        <f aca="false">IF(AND(AE$7=$I12,ISNUMBER($I12)),"◆","")</f>
        <v/>
      </c>
      <c r="AF12" s="57" t="str">
        <f aca="false">IF(AND(AF$7=$I12,ISNUMBER($I12)),"◆","")</f>
        <v/>
      </c>
      <c r="AG12" s="57" t="str">
        <f aca="false">IF(AND(AG$7=$I12,ISNUMBER($I12)),"◆","")</f>
        <v/>
      </c>
      <c r="AH12" s="57" t="str">
        <f aca="false">IF(AND(AH$7=$I12,ISNUMBER($I12)),"◆","")</f>
        <v/>
      </c>
      <c r="AI12" s="57" t="str">
        <f aca="false">IF(AND(AI$7=$I12,ISNUMBER($I12)),"◆","")</f>
        <v/>
      </c>
      <c r="AJ12" s="57" t="str">
        <f aca="false">IF(AND(AJ$7=$I12,ISNUMBER($I12)),"◆","")</f>
        <v/>
      </c>
      <c r="AK12" s="57" t="str">
        <f aca="false">IF(AND(AK$7=$I12,ISNUMBER($I12)),"◆","")</f>
        <v/>
      </c>
      <c r="AL12" s="57" t="str">
        <f aca="false">IF(AND(AL$7=$I12,ISNUMBER($I12)),"◆","")</f>
        <v/>
      </c>
      <c r="AM12" s="57" t="str">
        <f aca="false">IF(AND(AM$7=$I12,ISNUMBER($I12)),"◆","")</f>
        <v/>
      </c>
      <c r="AN12" s="57" t="str">
        <f aca="false">IF(AND(AN$7=$I12,ISNUMBER($I12)),"◆","")</f>
        <v/>
      </c>
      <c r="AO12" s="57" t="str">
        <f aca="false">IF(AND(AO$7=$I12,ISNUMBER($I12)),"◆","")</f>
        <v/>
      </c>
      <c r="AP12" s="57" t="str">
        <f aca="false">IF(AND(AP$7=$I12,ISNUMBER($I12)),"◆","")</f>
        <v/>
      </c>
      <c r="AQ12" s="57" t="str">
        <f aca="false">IF(AND(AQ$7=$I12,ISNUMBER($I12)),"◆","")</f>
        <v/>
      </c>
      <c r="AR12" s="57" t="str">
        <f aca="false">IF(AND(AR$7=$I12,ISNUMBER($I12)),"◆","")</f>
        <v/>
      </c>
      <c r="AS12" s="57" t="str">
        <f aca="false">IF(AND(AS$7=$I12,ISNUMBER($I12)),"◆","")</f>
        <v/>
      </c>
      <c r="AT12" s="57" t="str">
        <f aca="false">IF(AND(AT$7=$I12,ISNUMBER($I12)),"◆","")</f>
        <v/>
      </c>
      <c r="AU12" s="57" t="str">
        <f aca="false">IF(AND(AU$7=$I12,ISNUMBER($I12)),"◆","")</f>
        <v/>
      </c>
      <c r="AV12" s="57" t="str">
        <f aca="false">IF(AND(AV$7=$I12,ISNUMBER($I12)),"◆","")</f>
        <v/>
      </c>
      <c r="AW12" s="57" t="str">
        <f aca="false">IF(AND(AW$7=$I12,ISNUMBER($I12)),"◆","")</f>
        <v/>
      </c>
      <c r="AX12" s="57" t="str">
        <f aca="false">IF(AND(AX$7=$I12,ISNUMBER($I12)),"◆","")</f>
        <v/>
      </c>
      <c r="AY12" s="57" t="str">
        <f aca="false">IF(AND(AY$7=$I12,ISNUMBER($I12)),"◆","")</f>
        <v/>
      </c>
      <c r="AZ12" s="57" t="str">
        <f aca="false">IF(AND(AZ$7=$I12,ISNUMBER($I12)),"◆","")</f>
        <v/>
      </c>
      <c r="BA12" s="57" t="str">
        <f aca="false">IF(AND(BA$7=$I12,ISNUMBER($I12)),"◆","")</f>
        <v/>
      </c>
      <c r="BB12" s="57" t="str">
        <f aca="false">IF(AND(BB$7=$I12,ISNUMBER($I12)),"◆","")</f>
        <v/>
      </c>
      <c r="BC12" s="57" t="str">
        <f aca="false">IF(AND(BC$7=$I12,ISNUMBER($I12)),"◆","")</f>
        <v/>
      </c>
      <c r="BD12" s="57" t="str">
        <f aca="false">IF(AND(BD$7=$I12,ISNUMBER($I12)),"◆","")</f>
        <v/>
      </c>
      <c r="BE12" s="57" t="str">
        <f aca="false">IF(AND(BE$7=$I12,ISNUMBER($I12)),"◆","")</f>
        <v/>
      </c>
      <c r="BF12" s="57" t="str">
        <f aca="false">IF(AND(BF$7=$I12,ISNUMBER($I12)),"◆","")</f>
        <v/>
      </c>
      <c r="BG12" s="57" t="str">
        <f aca="false">IF(AND(BG$7=$I12,ISNUMBER($I12)),"◆","")</f>
        <v/>
      </c>
      <c r="BH12" s="57" t="str">
        <f aca="false">IF(AND(BH$7=$I12,ISNUMBER($I12)),"◆","")</f>
        <v/>
      </c>
      <c r="BI12" s="57" t="str">
        <f aca="false">IF(AND(BI$7=$I12,ISNUMBER($I12)),"◆","")</f>
        <v/>
      </c>
      <c r="BJ12" s="57" t="str">
        <f aca="false">IF(AND(BJ$7=$I12,ISNUMBER($I12)),"◆","")</f>
        <v/>
      </c>
      <c r="BK12" s="57" t="str">
        <f aca="false">IF(AND(BK$7=$I12,ISNUMBER($I12)),"◆","")</f>
        <v/>
      </c>
      <c r="BL12" s="57" t="str">
        <f aca="false">IF(AND(BL$7=$I12,ISNUMBER($I12)),"◆","")</f>
        <v/>
      </c>
      <c r="BM12" s="57" t="str">
        <f aca="false">IF(AND(BM$7=$I12,ISNUMBER($I12)),"◆","")</f>
        <v/>
      </c>
      <c r="BN12" s="57" t="str">
        <f aca="false">IF(AND(BN$7=$I12,ISNUMBER($I12)),"◆","")</f>
        <v/>
      </c>
      <c r="BO12" s="57" t="str">
        <f aca="false">IF(AND(BO$7=$I12,ISNUMBER($I12)),"◆","")</f>
        <v/>
      </c>
      <c r="BP12" s="57" t="str">
        <f aca="false">IF(AND(BP$7=$I12,ISNUMBER($I12)),"◆","")</f>
        <v/>
      </c>
      <c r="BQ12" s="57" t="str">
        <f aca="false">IF(AND(BQ$7=$I12,ISNUMBER($I12)),"◆","")</f>
        <v/>
      </c>
      <c r="BR12" s="57" t="str">
        <f aca="false">IF(AND(BR$7=$I12,ISNUMBER($I12)),"◆","")</f>
        <v/>
      </c>
      <c r="BS12" s="57" t="str">
        <f aca="false">IF(AND(BS$7=$I12,ISNUMBER($I12)),"◆","")</f>
        <v/>
      </c>
      <c r="BT12" s="57" t="str">
        <f aca="false">IF(AND(BT$7=$I12,ISNUMBER($I12)),"◆","")</f>
        <v/>
      </c>
      <c r="BU12" s="57" t="str">
        <f aca="false">IF(AND(BU$7=$I12,ISNUMBER($I12)),"◆","")</f>
        <v/>
      </c>
      <c r="BV12" s="57" t="str">
        <f aca="false">IF(AND(BV$7=$I12,ISNUMBER($I12)),"◆","")</f>
        <v/>
      </c>
      <c r="BW12" s="57" t="str">
        <f aca="false">IF(AND(BW$7=$I12,ISNUMBER($I12)),"◆","")</f>
        <v/>
      </c>
      <c r="BX12" s="57" t="str">
        <f aca="false">IF(AND(BX$7=$I12,ISNUMBER($I12)),"◆","")</f>
        <v/>
      </c>
      <c r="BY12" s="57" t="str">
        <f aca="false">IF(AND(BY$7=$I12,ISNUMBER($I12)),"◆","")</f>
        <v/>
      </c>
      <c r="BZ12" s="57" t="str">
        <f aca="false">IF(AND(BZ$7=$I12,ISNUMBER($I12)),"◆","")</f>
        <v/>
      </c>
      <c r="CA12" s="57" t="str">
        <f aca="false">IF(AND(CA$7=$I12,ISNUMBER($I12)),"◆","")</f>
        <v/>
      </c>
      <c r="CB12" s="57" t="str">
        <f aca="false">IF(AND(CB$7=$I12,ISNUMBER($I12)),"◆","")</f>
        <v/>
      </c>
      <c r="CC12" s="57" t="str">
        <f aca="false">IF(AND(CC$7=$I12,ISNUMBER($I12)),"◆","")</f>
        <v/>
      </c>
      <c r="CD12" s="57" t="str">
        <f aca="false">IF(AND(CD$7=$I12,ISNUMBER($I12)),"◆","")</f>
        <v/>
      </c>
      <c r="CE12" s="57" t="str">
        <f aca="false">IF(AND(CE$7=$I12,ISNUMBER($I12)),"◆","")</f>
        <v/>
      </c>
      <c r="CF12" s="57" t="str">
        <f aca="false">IF(AND(CF$7=$I12,ISNUMBER($I12)),"◆","")</f>
        <v/>
      </c>
      <c r="CG12" s="57" t="str">
        <f aca="false">IF(AND(CG$7=$I12,ISNUMBER($I12)),"◆","")</f>
        <v/>
      </c>
      <c r="CH12" s="57" t="str">
        <f aca="false">IF(AND(CH$7=$I12,ISNUMBER($I12)),"◆","")</f>
        <v/>
      </c>
      <c r="CI12" s="57" t="str">
        <f aca="false">IF(AND(CI$7=$I12,ISNUMBER($I12)),"◆","")</f>
        <v/>
      </c>
      <c r="CJ12" s="57" t="str">
        <f aca="false">IF(AND(CJ$7=$I12,ISNUMBER($I12)),"◆","")</f>
        <v/>
      </c>
      <c r="CK12" s="57" t="str">
        <f aca="false">IF(AND(CK$7=$I12,ISNUMBER($I12)),"◆","")</f>
        <v/>
      </c>
      <c r="CL12" s="57" t="str">
        <f aca="false">IF(AND(CL$7=$I12,ISNUMBER($I12)),"◆","")</f>
        <v/>
      </c>
      <c r="CM12" s="57" t="str">
        <f aca="false">IF(AND(CM$7=$I12,ISNUMBER($I12)),"◆","")</f>
        <v/>
      </c>
      <c r="CN12" s="57" t="str">
        <f aca="false">IF(AND(CN$7=$I12,ISNUMBER($I12)),"◆","")</f>
        <v/>
      </c>
      <c r="CO12" s="57" t="str">
        <f aca="false">IF(AND(CO$7=$I12,ISNUMBER($I12)),"◆","")</f>
        <v/>
      </c>
      <c r="CP12" s="57" t="str">
        <f aca="false">IF(AND(CP$7=$I12,ISNUMBER($I12)),"◆","")</f>
        <v/>
      </c>
      <c r="CQ12" s="57" t="str">
        <f aca="false">IF(AND(CQ$7=$I12,ISNUMBER($I12)),"◆","")</f>
        <v/>
      </c>
      <c r="CR12" s="57" t="str">
        <f aca="false">IF(AND(CR$7=$I12,ISNUMBER($I12)),"◆","")</f>
        <v/>
      </c>
      <c r="CS12" s="57" t="str">
        <f aca="false">IF(AND(CS$7=$I12,ISNUMBER($I12)),"◆","")</f>
        <v/>
      </c>
      <c r="CT12" s="57" t="str">
        <f aca="false">IF(AND(CT$7=$I12,ISNUMBER($I12)),"◆","")</f>
        <v/>
      </c>
      <c r="CU12" s="57" t="str">
        <f aca="false">IF(AND(CU$7=$I12,ISNUMBER($I12)),"◆","")</f>
        <v/>
      </c>
      <c r="CV12" s="57" t="str">
        <f aca="false">IF(AND(CV$7=$I12,ISNUMBER($I12)),"◆","")</f>
        <v/>
      </c>
      <c r="CW12" s="57" t="str">
        <f aca="false">IF(AND(CW$7=$I12,ISNUMBER($I12)),"◆","")</f>
        <v/>
      </c>
      <c r="CX12" s="57" t="str">
        <f aca="false">IF(AND(CX$7=$I12,ISNUMBER($I12)),"◆","")</f>
        <v/>
      </c>
      <c r="CY12" s="57" t="str">
        <f aca="false">IF(AND(CY$7=$I12,ISNUMBER($I12)),"◆","")</f>
        <v/>
      </c>
      <c r="CZ12" s="57" t="str">
        <f aca="false">IF(AND(CZ$7=$I12,ISNUMBER($I12)),"◆","")</f>
        <v/>
      </c>
      <c r="DA12" s="57" t="str">
        <f aca="false">IF(AND(DA$7=$I12,ISNUMBER($I12)),"◆","")</f>
        <v/>
      </c>
      <c r="DB12" s="57" t="str">
        <f aca="false">IF(AND(DB$7=$I12,ISNUMBER($I12)),"◆","")</f>
        <v/>
      </c>
      <c r="DC12" s="57" t="str">
        <f aca="false">IF(AND(DC$7=$I12,ISNUMBER($I12)),"◆","")</f>
        <v/>
      </c>
      <c r="DD12" s="57" t="str">
        <f aca="false">IF(AND(DD$7=$I12,ISNUMBER($I12)),"◆","")</f>
        <v/>
      </c>
      <c r="DE12" s="57" t="str">
        <f aca="false">IF(AND(DE$7=$I12,ISNUMBER($I12)),"◆","")</f>
        <v/>
      </c>
      <c r="DF12" s="57" t="str">
        <f aca="false">IF(AND(DF$7=$I12,ISNUMBER($I12)),"◆","")</f>
        <v/>
      </c>
      <c r="DG12" s="57" t="str">
        <f aca="false">IF(AND(DG$7=$I12,ISNUMBER($I12)),"◆","")</f>
        <v/>
      </c>
      <c r="DH12" s="57" t="str">
        <f aca="false">IF(AND(DH$7=$I12,ISNUMBER($I12)),"◆","")</f>
        <v/>
      </c>
      <c r="DI12" s="57" t="str">
        <f aca="false">IF(AND(DI$7=$I12,ISNUMBER($I12)),"◆","")</f>
        <v/>
      </c>
      <c r="DJ12" s="57" t="str">
        <f aca="false">IF(AND(DJ$7=$I12,ISNUMBER($I12)),"◆","")</f>
        <v/>
      </c>
      <c r="DK12" s="57" t="str">
        <f aca="false">IF(AND(DK$7=$I12,ISNUMBER($I12)),"◆","")</f>
        <v/>
      </c>
      <c r="DL12" s="57" t="str">
        <f aca="false">IF(AND(DL$7=$I12,ISNUMBER($I12)),"◆","")</f>
        <v/>
      </c>
      <c r="DM12" s="57" t="str">
        <f aca="false">IF(AND(DM$7=$I12,ISNUMBER($I12)),"◆","")</f>
        <v/>
      </c>
      <c r="DN12" s="57" t="str">
        <f aca="false">IF(AND(DN$7=$I12,ISNUMBER($I12)),"◆","")</f>
        <v/>
      </c>
      <c r="DO12" s="57" t="str">
        <f aca="false">IF(AND(DO$7=$I12,ISNUMBER($I12)),"◆","")</f>
        <v/>
      </c>
      <c r="DP12" s="57" t="str">
        <f aca="false">IF(AND(DP$7=$I12,ISNUMBER($I12)),"◆","")</f>
        <v/>
      </c>
      <c r="DQ12" s="57" t="str">
        <f aca="false">IF(AND(DQ$7=$I12,ISNUMBER($I12)),"◆","")</f>
        <v/>
      </c>
      <c r="DR12" s="57" t="str">
        <f aca="false">IF(AND(DR$7=$I12,ISNUMBER($I12)),"◆","")</f>
        <v/>
      </c>
      <c r="DS12" s="57" t="str">
        <f aca="false">IF(AND(DS$7=$I12,ISNUMBER($I12)),"◆","")</f>
        <v/>
      </c>
      <c r="DT12" s="57" t="str">
        <f aca="false">IF(AND(DT$7=$I12,ISNUMBER($I12)),"◆","")</f>
        <v/>
      </c>
      <c r="DU12" s="57" t="str">
        <f aca="false">IF(AND(DU$7=$I12,ISNUMBER($I12)),"◆","")</f>
        <v/>
      </c>
      <c r="DV12" s="57" t="str">
        <f aca="false">IF(AND(DV$7=$I12,ISNUMBER($I12)),"◆","")</f>
        <v/>
      </c>
      <c r="DW12" s="57" t="str">
        <f aca="false">IF(AND(DW$7=$I12,ISNUMBER($I12)),"◆","")</f>
        <v/>
      </c>
      <c r="DX12" s="57" t="str">
        <f aca="false">IF(AND(DX$7=$I12,ISNUMBER($I12)),"◆","")</f>
        <v/>
      </c>
      <c r="DY12" s="57" t="str">
        <f aca="false">IF(AND(DY$7=$I12,ISNUMBER($I12)),"◆","")</f>
        <v/>
      </c>
      <c r="DZ12" s="57" t="str">
        <f aca="false">IF(AND(DZ$7=$I12,ISNUMBER($I12)),"◆","")</f>
        <v/>
      </c>
      <c r="EA12" s="57" t="str">
        <f aca="false">IF(AND(EA$7=$I12,ISNUMBER($I12)),"◆","")</f>
        <v/>
      </c>
      <c r="EB12" s="57" t="str">
        <f aca="false">IF(AND(EB$7=$I12,ISNUMBER($I12)),"◆","")</f>
        <v/>
      </c>
      <c r="EC12" s="57" t="str">
        <f aca="false">IF(AND(EC$7=$I12,ISNUMBER($I12)),"◆","")</f>
        <v/>
      </c>
      <c r="ED12" s="57" t="str">
        <f aca="false">IF(AND(ED$7=$I12,ISNUMBER($I12)),"◆","")</f>
        <v/>
      </c>
      <c r="EE12" s="57" t="str">
        <f aca="false">IF(AND(EE$7=$I12,ISNUMBER($I12)),"◆","")</f>
        <v/>
      </c>
      <c r="EF12" s="57" t="str">
        <f aca="false">IF(AND(EF$7=$I12,ISNUMBER($I12)),"◆","")</f>
        <v/>
      </c>
      <c r="EG12" s="57" t="str">
        <f aca="false">IF(AND(EG$7=$I12,ISNUMBER($I12)),"◆","")</f>
        <v/>
      </c>
      <c r="EH12" s="57" t="str">
        <f aca="false">IF(AND(EH$7=$I12,ISNUMBER($I12)),"◆","")</f>
        <v/>
      </c>
      <c r="EI12" s="57" t="str">
        <f aca="false">IF(AND(EI$7=$I12,ISNUMBER($I12)),"◆","")</f>
        <v/>
      </c>
      <c r="EJ12" s="57" t="str">
        <f aca="false">IF(AND(EJ$7=$I12,ISNUMBER($I12)),"◆","")</f>
        <v/>
      </c>
      <c r="EK12" s="57" t="str">
        <f aca="false">IF(AND(EK$7=$I12,ISNUMBER($I12)),"◆","")</f>
        <v/>
      </c>
      <c r="EL12" s="57" t="str">
        <f aca="false">IF(AND(EL$7=$I12,ISNUMBER($I12)),"◆","")</f>
        <v/>
      </c>
      <c r="EM12" s="57" t="str">
        <f aca="false">IF(AND(EM$7=$I12,ISNUMBER($I12)),"◆","")</f>
        <v/>
      </c>
    </row>
    <row r="13" customFormat="false" ht="25.5" hidden="false" customHeight="true" outlineLevel="0" collapsed="false">
      <c r="A13" s="50" t="str">
        <f aca="false">制作工程表!A11</f>
        <v>T03</v>
      </c>
      <c r="B13" s="51" t="str">
        <f aca="false">制作工程表!B11</f>
        <v>企画確認</v>
      </c>
      <c r="C13" s="52" t="str">
        <f aca="false">制作工程表!C11</f>
        <v>構成案のご確認</v>
      </c>
      <c r="D13" s="53" t="str">
        <f aca="false">制作工程表!D11</f>
        <v>総務窓口</v>
      </c>
      <c r="E13" s="53" t="str">
        <f aca="false">制作工程表!E11</f>
        <v>代表・工場長</v>
      </c>
      <c r="F13" s="54" t="str">
        <f aca="false">IF(制作工程表!B11="取材撮影","撮影",IF(OR(制作工程表!D11="総務窓口",制作工程表!D11="工場長",制作工程表!D11="代表",制作工程表!D11="営業・生産管理"),"企業","制作"))</f>
        <v>企業</v>
      </c>
      <c r="G13" s="55" t="n">
        <f aca="false">制作工程表!G11</f>
        <v>46338</v>
      </c>
      <c r="H13" s="55" t="n">
        <f aca="false">制作工程表!H11</f>
        <v>46346</v>
      </c>
      <c r="I13" s="56" t="n">
        <f aca="false">制作工程表!I11</f>
        <v>46346</v>
      </c>
      <c r="J13" s="51" t="str">
        <f aca="false">制作工程表!K11</f>
        <v>未着手</v>
      </c>
      <c r="K13" s="57" t="str">
        <f aca="false">IF(AND(K$7=$I13,ISNUMBER($I13)),"◆","")</f>
        <v/>
      </c>
      <c r="L13" s="57" t="str">
        <f aca="false">IF(AND(L$7=$I13,ISNUMBER($I13)),"◆","")</f>
        <v/>
      </c>
      <c r="M13" s="57" t="str">
        <f aca="false">IF(AND(M$7=$I13,ISNUMBER($I13)),"◆","")</f>
        <v/>
      </c>
      <c r="N13" s="57" t="str">
        <f aca="false">IF(AND(N$7=$I13,ISNUMBER($I13)),"◆","")</f>
        <v/>
      </c>
      <c r="O13" s="57" t="str">
        <f aca="false">IF(AND(O$7=$I13,ISNUMBER($I13)),"◆","")</f>
        <v/>
      </c>
      <c r="P13" s="57" t="str">
        <f aca="false">IF(AND(P$7=$I13,ISNUMBER($I13)),"◆","")</f>
        <v/>
      </c>
      <c r="Q13" s="57" t="str">
        <f aca="false">IF(AND(Q$7=$I13,ISNUMBER($I13)),"◆","")</f>
        <v/>
      </c>
      <c r="R13" s="57" t="str">
        <f aca="false">IF(AND(R$7=$I13,ISNUMBER($I13)),"◆","")</f>
        <v/>
      </c>
      <c r="S13" s="57" t="str">
        <f aca="false">IF(AND(S$7=$I13,ISNUMBER($I13)),"◆","")</f>
        <v/>
      </c>
      <c r="T13" s="57" t="str">
        <f aca="false">IF(AND(T$7=$I13,ISNUMBER($I13)),"◆","")</f>
        <v/>
      </c>
      <c r="U13" s="57" t="str">
        <f aca="false">IF(AND(U$7=$I13,ISNUMBER($I13)),"◆","")</f>
        <v/>
      </c>
      <c r="V13" s="57" t="str">
        <f aca="false">IF(AND(V$7=$I13,ISNUMBER($I13)),"◆","")</f>
        <v/>
      </c>
      <c r="W13" s="57" t="str">
        <f aca="false">IF(AND(W$7=$I13,ISNUMBER($I13)),"◆","")</f>
        <v/>
      </c>
      <c r="X13" s="57" t="str">
        <f aca="false">IF(AND(X$7=$I13,ISNUMBER($I13)),"◆","")</f>
        <v/>
      </c>
      <c r="Y13" s="57" t="str">
        <f aca="false">IF(AND(Y$7=$I13,ISNUMBER($I13)),"◆","")</f>
        <v/>
      </c>
      <c r="Z13" s="57" t="str">
        <f aca="false">IF(AND(Z$7=$I13,ISNUMBER($I13)),"◆","")</f>
        <v/>
      </c>
      <c r="AA13" s="57" t="str">
        <f aca="false">IF(AND(AA$7=$I13,ISNUMBER($I13)),"◆","")</f>
        <v/>
      </c>
      <c r="AB13" s="57" t="str">
        <f aca="false">IF(AND(AB$7=$I13,ISNUMBER($I13)),"◆","")</f>
        <v/>
      </c>
      <c r="AC13" s="57" t="str">
        <f aca="false">IF(AND(AC$7=$I13,ISNUMBER($I13)),"◆","")</f>
        <v>◆</v>
      </c>
      <c r="AD13" s="57" t="str">
        <f aca="false">IF(AND(AD$7=$I13,ISNUMBER($I13)),"◆","")</f>
        <v/>
      </c>
      <c r="AE13" s="57" t="str">
        <f aca="false">IF(AND(AE$7=$I13,ISNUMBER($I13)),"◆","")</f>
        <v/>
      </c>
      <c r="AF13" s="57" t="str">
        <f aca="false">IF(AND(AF$7=$I13,ISNUMBER($I13)),"◆","")</f>
        <v/>
      </c>
      <c r="AG13" s="57" t="str">
        <f aca="false">IF(AND(AG$7=$I13,ISNUMBER($I13)),"◆","")</f>
        <v/>
      </c>
      <c r="AH13" s="57" t="str">
        <f aca="false">IF(AND(AH$7=$I13,ISNUMBER($I13)),"◆","")</f>
        <v/>
      </c>
      <c r="AI13" s="57" t="str">
        <f aca="false">IF(AND(AI$7=$I13,ISNUMBER($I13)),"◆","")</f>
        <v/>
      </c>
      <c r="AJ13" s="57" t="str">
        <f aca="false">IF(AND(AJ$7=$I13,ISNUMBER($I13)),"◆","")</f>
        <v/>
      </c>
      <c r="AK13" s="57" t="str">
        <f aca="false">IF(AND(AK$7=$I13,ISNUMBER($I13)),"◆","")</f>
        <v/>
      </c>
      <c r="AL13" s="57" t="str">
        <f aca="false">IF(AND(AL$7=$I13,ISNUMBER($I13)),"◆","")</f>
        <v/>
      </c>
      <c r="AM13" s="57" t="str">
        <f aca="false">IF(AND(AM$7=$I13,ISNUMBER($I13)),"◆","")</f>
        <v/>
      </c>
      <c r="AN13" s="57" t="str">
        <f aca="false">IF(AND(AN$7=$I13,ISNUMBER($I13)),"◆","")</f>
        <v/>
      </c>
      <c r="AO13" s="57" t="str">
        <f aca="false">IF(AND(AO$7=$I13,ISNUMBER($I13)),"◆","")</f>
        <v/>
      </c>
      <c r="AP13" s="57" t="str">
        <f aca="false">IF(AND(AP$7=$I13,ISNUMBER($I13)),"◆","")</f>
        <v/>
      </c>
      <c r="AQ13" s="57" t="str">
        <f aca="false">IF(AND(AQ$7=$I13,ISNUMBER($I13)),"◆","")</f>
        <v/>
      </c>
      <c r="AR13" s="57" t="str">
        <f aca="false">IF(AND(AR$7=$I13,ISNUMBER($I13)),"◆","")</f>
        <v/>
      </c>
      <c r="AS13" s="57" t="str">
        <f aca="false">IF(AND(AS$7=$I13,ISNUMBER($I13)),"◆","")</f>
        <v/>
      </c>
      <c r="AT13" s="57" t="str">
        <f aca="false">IF(AND(AT$7=$I13,ISNUMBER($I13)),"◆","")</f>
        <v/>
      </c>
      <c r="AU13" s="57" t="str">
        <f aca="false">IF(AND(AU$7=$I13,ISNUMBER($I13)),"◆","")</f>
        <v/>
      </c>
      <c r="AV13" s="57" t="str">
        <f aca="false">IF(AND(AV$7=$I13,ISNUMBER($I13)),"◆","")</f>
        <v/>
      </c>
      <c r="AW13" s="57" t="str">
        <f aca="false">IF(AND(AW$7=$I13,ISNUMBER($I13)),"◆","")</f>
        <v/>
      </c>
      <c r="AX13" s="57" t="str">
        <f aca="false">IF(AND(AX$7=$I13,ISNUMBER($I13)),"◆","")</f>
        <v/>
      </c>
      <c r="AY13" s="57" t="str">
        <f aca="false">IF(AND(AY$7=$I13,ISNUMBER($I13)),"◆","")</f>
        <v/>
      </c>
      <c r="AZ13" s="57" t="str">
        <f aca="false">IF(AND(AZ$7=$I13,ISNUMBER($I13)),"◆","")</f>
        <v/>
      </c>
      <c r="BA13" s="57" t="str">
        <f aca="false">IF(AND(BA$7=$I13,ISNUMBER($I13)),"◆","")</f>
        <v/>
      </c>
      <c r="BB13" s="57" t="str">
        <f aca="false">IF(AND(BB$7=$I13,ISNUMBER($I13)),"◆","")</f>
        <v/>
      </c>
      <c r="BC13" s="57" t="str">
        <f aca="false">IF(AND(BC$7=$I13,ISNUMBER($I13)),"◆","")</f>
        <v/>
      </c>
      <c r="BD13" s="57" t="str">
        <f aca="false">IF(AND(BD$7=$I13,ISNUMBER($I13)),"◆","")</f>
        <v/>
      </c>
      <c r="BE13" s="57" t="str">
        <f aca="false">IF(AND(BE$7=$I13,ISNUMBER($I13)),"◆","")</f>
        <v/>
      </c>
      <c r="BF13" s="57" t="str">
        <f aca="false">IF(AND(BF$7=$I13,ISNUMBER($I13)),"◆","")</f>
        <v/>
      </c>
      <c r="BG13" s="57" t="str">
        <f aca="false">IF(AND(BG$7=$I13,ISNUMBER($I13)),"◆","")</f>
        <v/>
      </c>
      <c r="BH13" s="57" t="str">
        <f aca="false">IF(AND(BH$7=$I13,ISNUMBER($I13)),"◆","")</f>
        <v/>
      </c>
      <c r="BI13" s="57" t="str">
        <f aca="false">IF(AND(BI$7=$I13,ISNUMBER($I13)),"◆","")</f>
        <v/>
      </c>
      <c r="BJ13" s="57" t="str">
        <f aca="false">IF(AND(BJ$7=$I13,ISNUMBER($I13)),"◆","")</f>
        <v/>
      </c>
      <c r="BK13" s="57" t="str">
        <f aca="false">IF(AND(BK$7=$I13,ISNUMBER($I13)),"◆","")</f>
        <v/>
      </c>
      <c r="BL13" s="57" t="str">
        <f aca="false">IF(AND(BL$7=$I13,ISNUMBER($I13)),"◆","")</f>
        <v/>
      </c>
      <c r="BM13" s="57" t="str">
        <f aca="false">IF(AND(BM$7=$I13,ISNUMBER($I13)),"◆","")</f>
        <v/>
      </c>
      <c r="BN13" s="57" t="str">
        <f aca="false">IF(AND(BN$7=$I13,ISNUMBER($I13)),"◆","")</f>
        <v/>
      </c>
      <c r="BO13" s="57" t="str">
        <f aca="false">IF(AND(BO$7=$I13,ISNUMBER($I13)),"◆","")</f>
        <v/>
      </c>
      <c r="BP13" s="57" t="str">
        <f aca="false">IF(AND(BP$7=$I13,ISNUMBER($I13)),"◆","")</f>
        <v/>
      </c>
      <c r="BQ13" s="57" t="str">
        <f aca="false">IF(AND(BQ$7=$I13,ISNUMBER($I13)),"◆","")</f>
        <v/>
      </c>
      <c r="BR13" s="57" t="str">
        <f aca="false">IF(AND(BR$7=$I13,ISNUMBER($I13)),"◆","")</f>
        <v/>
      </c>
      <c r="BS13" s="57" t="str">
        <f aca="false">IF(AND(BS$7=$I13,ISNUMBER($I13)),"◆","")</f>
        <v/>
      </c>
      <c r="BT13" s="57" t="str">
        <f aca="false">IF(AND(BT$7=$I13,ISNUMBER($I13)),"◆","")</f>
        <v/>
      </c>
      <c r="BU13" s="57" t="str">
        <f aca="false">IF(AND(BU$7=$I13,ISNUMBER($I13)),"◆","")</f>
        <v/>
      </c>
      <c r="BV13" s="57" t="str">
        <f aca="false">IF(AND(BV$7=$I13,ISNUMBER($I13)),"◆","")</f>
        <v/>
      </c>
      <c r="BW13" s="57" t="str">
        <f aca="false">IF(AND(BW$7=$I13,ISNUMBER($I13)),"◆","")</f>
        <v/>
      </c>
      <c r="BX13" s="57" t="str">
        <f aca="false">IF(AND(BX$7=$I13,ISNUMBER($I13)),"◆","")</f>
        <v/>
      </c>
      <c r="BY13" s="57" t="str">
        <f aca="false">IF(AND(BY$7=$I13,ISNUMBER($I13)),"◆","")</f>
        <v/>
      </c>
      <c r="BZ13" s="57" t="str">
        <f aca="false">IF(AND(BZ$7=$I13,ISNUMBER($I13)),"◆","")</f>
        <v/>
      </c>
      <c r="CA13" s="57" t="str">
        <f aca="false">IF(AND(CA$7=$I13,ISNUMBER($I13)),"◆","")</f>
        <v/>
      </c>
      <c r="CB13" s="57" t="str">
        <f aca="false">IF(AND(CB$7=$I13,ISNUMBER($I13)),"◆","")</f>
        <v/>
      </c>
      <c r="CC13" s="57" t="str">
        <f aca="false">IF(AND(CC$7=$I13,ISNUMBER($I13)),"◆","")</f>
        <v/>
      </c>
      <c r="CD13" s="57" t="str">
        <f aca="false">IF(AND(CD$7=$I13,ISNUMBER($I13)),"◆","")</f>
        <v/>
      </c>
      <c r="CE13" s="57" t="str">
        <f aca="false">IF(AND(CE$7=$I13,ISNUMBER($I13)),"◆","")</f>
        <v/>
      </c>
      <c r="CF13" s="57" t="str">
        <f aca="false">IF(AND(CF$7=$I13,ISNUMBER($I13)),"◆","")</f>
        <v/>
      </c>
      <c r="CG13" s="57" t="str">
        <f aca="false">IF(AND(CG$7=$I13,ISNUMBER($I13)),"◆","")</f>
        <v/>
      </c>
      <c r="CH13" s="57" t="str">
        <f aca="false">IF(AND(CH$7=$I13,ISNUMBER($I13)),"◆","")</f>
        <v/>
      </c>
      <c r="CI13" s="57" t="str">
        <f aca="false">IF(AND(CI$7=$I13,ISNUMBER($I13)),"◆","")</f>
        <v/>
      </c>
      <c r="CJ13" s="57" t="str">
        <f aca="false">IF(AND(CJ$7=$I13,ISNUMBER($I13)),"◆","")</f>
        <v/>
      </c>
      <c r="CK13" s="57" t="str">
        <f aca="false">IF(AND(CK$7=$I13,ISNUMBER($I13)),"◆","")</f>
        <v/>
      </c>
      <c r="CL13" s="57" t="str">
        <f aca="false">IF(AND(CL$7=$I13,ISNUMBER($I13)),"◆","")</f>
        <v/>
      </c>
      <c r="CM13" s="57" t="str">
        <f aca="false">IF(AND(CM$7=$I13,ISNUMBER($I13)),"◆","")</f>
        <v/>
      </c>
      <c r="CN13" s="57" t="str">
        <f aca="false">IF(AND(CN$7=$I13,ISNUMBER($I13)),"◆","")</f>
        <v/>
      </c>
      <c r="CO13" s="57" t="str">
        <f aca="false">IF(AND(CO$7=$I13,ISNUMBER($I13)),"◆","")</f>
        <v/>
      </c>
      <c r="CP13" s="57" t="str">
        <f aca="false">IF(AND(CP$7=$I13,ISNUMBER($I13)),"◆","")</f>
        <v/>
      </c>
      <c r="CQ13" s="57" t="str">
        <f aca="false">IF(AND(CQ$7=$I13,ISNUMBER($I13)),"◆","")</f>
        <v/>
      </c>
      <c r="CR13" s="57" t="str">
        <f aca="false">IF(AND(CR$7=$I13,ISNUMBER($I13)),"◆","")</f>
        <v/>
      </c>
      <c r="CS13" s="57" t="str">
        <f aca="false">IF(AND(CS$7=$I13,ISNUMBER($I13)),"◆","")</f>
        <v/>
      </c>
      <c r="CT13" s="57" t="str">
        <f aca="false">IF(AND(CT$7=$I13,ISNUMBER($I13)),"◆","")</f>
        <v/>
      </c>
      <c r="CU13" s="57" t="str">
        <f aca="false">IF(AND(CU$7=$I13,ISNUMBER($I13)),"◆","")</f>
        <v/>
      </c>
      <c r="CV13" s="57" t="str">
        <f aca="false">IF(AND(CV$7=$I13,ISNUMBER($I13)),"◆","")</f>
        <v/>
      </c>
      <c r="CW13" s="57" t="str">
        <f aca="false">IF(AND(CW$7=$I13,ISNUMBER($I13)),"◆","")</f>
        <v/>
      </c>
      <c r="CX13" s="57" t="str">
        <f aca="false">IF(AND(CX$7=$I13,ISNUMBER($I13)),"◆","")</f>
        <v/>
      </c>
      <c r="CY13" s="57" t="str">
        <f aca="false">IF(AND(CY$7=$I13,ISNUMBER($I13)),"◆","")</f>
        <v/>
      </c>
      <c r="CZ13" s="57" t="str">
        <f aca="false">IF(AND(CZ$7=$I13,ISNUMBER($I13)),"◆","")</f>
        <v/>
      </c>
      <c r="DA13" s="57" t="str">
        <f aca="false">IF(AND(DA$7=$I13,ISNUMBER($I13)),"◆","")</f>
        <v/>
      </c>
      <c r="DB13" s="57" t="str">
        <f aca="false">IF(AND(DB$7=$I13,ISNUMBER($I13)),"◆","")</f>
        <v/>
      </c>
      <c r="DC13" s="57" t="str">
        <f aca="false">IF(AND(DC$7=$I13,ISNUMBER($I13)),"◆","")</f>
        <v/>
      </c>
      <c r="DD13" s="57" t="str">
        <f aca="false">IF(AND(DD$7=$I13,ISNUMBER($I13)),"◆","")</f>
        <v/>
      </c>
      <c r="DE13" s="57" t="str">
        <f aca="false">IF(AND(DE$7=$I13,ISNUMBER($I13)),"◆","")</f>
        <v/>
      </c>
      <c r="DF13" s="57" t="str">
        <f aca="false">IF(AND(DF$7=$I13,ISNUMBER($I13)),"◆","")</f>
        <v/>
      </c>
      <c r="DG13" s="57" t="str">
        <f aca="false">IF(AND(DG$7=$I13,ISNUMBER($I13)),"◆","")</f>
        <v/>
      </c>
      <c r="DH13" s="57" t="str">
        <f aca="false">IF(AND(DH$7=$I13,ISNUMBER($I13)),"◆","")</f>
        <v/>
      </c>
      <c r="DI13" s="57" t="str">
        <f aca="false">IF(AND(DI$7=$I13,ISNUMBER($I13)),"◆","")</f>
        <v/>
      </c>
      <c r="DJ13" s="57" t="str">
        <f aca="false">IF(AND(DJ$7=$I13,ISNUMBER($I13)),"◆","")</f>
        <v/>
      </c>
      <c r="DK13" s="57" t="str">
        <f aca="false">IF(AND(DK$7=$I13,ISNUMBER($I13)),"◆","")</f>
        <v/>
      </c>
      <c r="DL13" s="57" t="str">
        <f aca="false">IF(AND(DL$7=$I13,ISNUMBER($I13)),"◆","")</f>
        <v/>
      </c>
      <c r="DM13" s="57" t="str">
        <f aca="false">IF(AND(DM$7=$I13,ISNUMBER($I13)),"◆","")</f>
        <v/>
      </c>
      <c r="DN13" s="57" t="str">
        <f aca="false">IF(AND(DN$7=$I13,ISNUMBER($I13)),"◆","")</f>
        <v/>
      </c>
      <c r="DO13" s="57" t="str">
        <f aca="false">IF(AND(DO$7=$I13,ISNUMBER($I13)),"◆","")</f>
        <v/>
      </c>
      <c r="DP13" s="57" t="str">
        <f aca="false">IF(AND(DP$7=$I13,ISNUMBER($I13)),"◆","")</f>
        <v/>
      </c>
      <c r="DQ13" s="57" t="str">
        <f aca="false">IF(AND(DQ$7=$I13,ISNUMBER($I13)),"◆","")</f>
        <v/>
      </c>
      <c r="DR13" s="57" t="str">
        <f aca="false">IF(AND(DR$7=$I13,ISNUMBER($I13)),"◆","")</f>
        <v/>
      </c>
      <c r="DS13" s="57" t="str">
        <f aca="false">IF(AND(DS$7=$I13,ISNUMBER($I13)),"◆","")</f>
        <v/>
      </c>
      <c r="DT13" s="57" t="str">
        <f aca="false">IF(AND(DT$7=$I13,ISNUMBER($I13)),"◆","")</f>
        <v/>
      </c>
      <c r="DU13" s="57" t="str">
        <f aca="false">IF(AND(DU$7=$I13,ISNUMBER($I13)),"◆","")</f>
        <v/>
      </c>
      <c r="DV13" s="57" t="str">
        <f aca="false">IF(AND(DV$7=$I13,ISNUMBER($I13)),"◆","")</f>
        <v/>
      </c>
      <c r="DW13" s="57" t="str">
        <f aca="false">IF(AND(DW$7=$I13,ISNUMBER($I13)),"◆","")</f>
        <v/>
      </c>
      <c r="DX13" s="57" t="str">
        <f aca="false">IF(AND(DX$7=$I13,ISNUMBER($I13)),"◆","")</f>
        <v/>
      </c>
      <c r="DY13" s="57" t="str">
        <f aca="false">IF(AND(DY$7=$I13,ISNUMBER($I13)),"◆","")</f>
        <v/>
      </c>
      <c r="DZ13" s="57" t="str">
        <f aca="false">IF(AND(DZ$7=$I13,ISNUMBER($I13)),"◆","")</f>
        <v/>
      </c>
      <c r="EA13" s="57" t="str">
        <f aca="false">IF(AND(EA$7=$I13,ISNUMBER($I13)),"◆","")</f>
        <v/>
      </c>
      <c r="EB13" s="57" t="str">
        <f aca="false">IF(AND(EB$7=$I13,ISNUMBER($I13)),"◆","")</f>
        <v/>
      </c>
      <c r="EC13" s="57" t="str">
        <f aca="false">IF(AND(EC$7=$I13,ISNUMBER($I13)),"◆","")</f>
        <v/>
      </c>
      <c r="ED13" s="57" t="str">
        <f aca="false">IF(AND(ED$7=$I13,ISNUMBER($I13)),"◆","")</f>
        <v/>
      </c>
      <c r="EE13" s="57" t="str">
        <f aca="false">IF(AND(EE$7=$I13,ISNUMBER($I13)),"◆","")</f>
        <v/>
      </c>
      <c r="EF13" s="57" t="str">
        <f aca="false">IF(AND(EF$7=$I13,ISNUMBER($I13)),"◆","")</f>
        <v/>
      </c>
      <c r="EG13" s="57" t="str">
        <f aca="false">IF(AND(EG$7=$I13,ISNUMBER($I13)),"◆","")</f>
        <v/>
      </c>
      <c r="EH13" s="57" t="str">
        <f aca="false">IF(AND(EH$7=$I13,ISNUMBER($I13)),"◆","")</f>
        <v/>
      </c>
      <c r="EI13" s="57" t="str">
        <f aca="false">IF(AND(EI$7=$I13,ISNUMBER($I13)),"◆","")</f>
        <v/>
      </c>
      <c r="EJ13" s="57" t="str">
        <f aca="false">IF(AND(EJ$7=$I13,ISNUMBER($I13)),"◆","")</f>
        <v/>
      </c>
      <c r="EK13" s="57" t="str">
        <f aca="false">IF(AND(EK$7=$I13,ISNUMBER($I13)),"◆","")</f>
        <v/>
      </c>
      <c r="EL13" s="57" t="str">
        <f aca="false">IF(AND(EL$7=$I13,ISNUMBER($I13)),"◆","")</f>
        <v/>
      </c>
      <c r="EM13" s="57" t="str">
        <f aca="false">IF(AND(EM$7=$I13,ISNUMBER($I13)),"◆","")</f>
        <v/>
      </c>
    </row>
    <row r="14" customFormat="false" ht="25.5" hidden="false" customHeight="true" outlineLevel="0" collapsed="false">
      <c r="A14" s="50" t="str">
        <f aca="false">制作工程表!A12</f>
        <v>T04</v>
      </c>
      <c r="B14" s="51" t="str">
        <f aca="false">制作工程表!B12</f>
        <v>設計</v>
      </c>
      <c r="C14" s="52" t="str">
        <f aca="false">制作工程表!C12</f>
        <v>ワイヤーフレームの作成</v>
      </c>
      <c r="D14" s="53" t="str">
        <f aca="false">制作工程表!D12</f>
        <v>編集ディレクター・デザイナー</v>
      </c>
      <c r="E14" s="53" t="str">
        <f aca="false">制作工程表!E12</f>
        <v>—</v>
      </c>
      <c r="F14" s="54" t="str">
        <f aca="false">IF(制作工程表!B12="取材撮影","撮影",IF(OR(制作工程表!D12="総務窓口",制作工程表!D12="工場長",制作工程表!D12="代表",制作工程表!D12="営業・生産管理"),"企業","制作"))</f>
        <v>制作</v>
      </c>
      <c r="G14" s="55" t="n">
        <f aca="false">制作工程表!G12</f>
        <v>46350</v>
      </c>
      <c r="H14" s="55" t="n">
        <f aca="false">制作工程表!H12</f>
        <v>46356</v>
      </c>
      <c r="I14" s="56" t="str">
        <f aca="false">制作工程表!I12</f>
        <v>—</v>
      </c>
      <c r="J14" s="51" t="str">
        <f aca="false">制作工程表!K12</f>
        <v>未着手</v>
      </c>
      <c r="K14" s="57" t="str">
        <f aca="false">IF(AND(K$7=$I14,ISNUMBER($I14)),"◆","")</f>
        <v/>
      </c>
      <c r="L14" s="57" t="str">
        <f aca="false">IF(AND(L$7=$I14,ISNUMBER($I14)),"◆","")</f>
        <v/>
      </c>
      <c r="M14" s="57" t="str">
        <f aca="false">IF(AND(M$7=$I14,ISNUMBER($I14)),"◆","")</f>
        <v/>
      </c>
      <c r="N14" s="57" t="str">
        <f aca="false">IF(AND(N$7=$I14,ISNUMBER($I14)),"◆","")</f>
        <v/>
      </c>
      <c r="O14" s="57" t="str">
        <f aca="false">IF(AND(O$7=$I14,ISNUMBER($I14)),"◆","")</f>
        <v/>
      </c>
      <c r="P14" s="57" t="str">
        <f aca="false">IF(AND(P$7=$I14,ISNUMBER($I14)),"◆","")</f>
        <v/>
      </c>
      <c r="Q14" s="57" t="str">
        <f aca="false">IF(AND(Q$7=$I14,ISNUMBER($I14)),"◆","")</f>
        <v/>
      </c>
      <c r="R14" s="57" t="str">
        <f aca="false">IF(AND(R$7=$I14,ISNUMBER($I14)),"◆","")</f>
        <v/>
      </c>
      <c r="S14" s="57" t="str">
        <f aca="false">IF(AND(S$7=$I14,ISNUMBER($I14)),"◆","")</f>
        <v/>
      </c>
      <c r="T14" s="57" t="str">
        <f aca="false">IF(AND(T$7=$I14,ISNUMBER($I14)),"◆","")</f>
        <v/>
      </c>
      <c r="U14" s="57" t="str">
        <f aca="false">IF(AND(U$7=$I14,ISNUMBER($I14)),"◆","")</f>
        <v/>
      </c>
      <c r="V14" s="57" t="str">
        <f aca="false">IF(AND(V$7=$I14,ISNUMBER($I14)),"◆","")</f>
        <v/>
      </c>
      <c r="W14" s="57" t="str">
        <f aca="false">IF(AND(W$7=$I14,ISNUMBER($I14)),"◆","")</f>
        <v/>
      </c>
      <c r="X14" s="57" t="str">
        <f aca="false">IF(AND(X$7=$I14,ISNUMBER($I14)),"◆","")</f>
        <v/>
      </c>
      <c r="Y14" s="57" t="str">
        <f aca="false">IF(AND(Y$7=$I14,ISNUMBER($I14)),"◆","")</f>
        <v/>
      </c>
      <c r="Z14" s="57" t="str">
        <f aca="false">IF(AND(Z$7=$I14,ISNUMBER($I14)),"◆","")</f>
        <v/>
      </c>
      <c r="AA14" s="57" t="str">
        <f aca="false">IF(AND(AA$7=$I14,ISNUMBER($I14)),"◆","")</f>
        <v/>
      </c>
      <c r="AB14" s="57" t="str">
        <f aca="false">IF(AND(AB$7=$I14,ISNUMBER($I14)),"◆","")</f>
        <v/>
      </c>
      <c r="AC14" s="57" t="str">
        <f aca="false">IF(AND(AC$7=$I14,ISNUMBER($I14)),"◆","")</f>
        <v/>
      </c>
      <c r="AD14" s="57" t="str">
        <f aca="false">IF(AND(AD$7=$I14,ISNUMBER($I14)),"◆","")</f>
        <v/>
      </c>
      <c r="AE14" s="57" t="str">
        <f aca="false">IF(AND(AE$7=$I14,ISNUMBER($I14)),"◆","")</f>
        <v/>
      </c>
      <c r="AF14" s="57" t="str">
        <f aca="false">IF(AND(AF$7=$I14,ISNUMBER($I14)),"◆","")</f>
        <v/>
      </c>
      <c r="AG14" s="57" t="str">
        <f aca="false">IF(AND(AG$7=$I14,ISNUMBER($I14)),"◆","")</f>
        <v/>
      </c>
      <c r="AH14" s="57" t="str">
        <f aca="false">IF(AND(AH$7=$I14,ISNUMBER($I14)),"◆","")</f>
        <v/>
      </c>
      <c r="AI14" s="57" t="str">
        <f aca="false">IF(AND(AI$7=$I14,ISNUMBER($I14)),"◆","")</f>
        <v/>
      </c>
      <c r="AJ14" s="57" t="str">
        <f aca="false">IF(AND(AJ$7=$I14,ISNUMBER($I14)),"◆","")</f>
        <v/>
      </c>
      <c r="AK14" s="57" t="str">
        <f aca="false">IF(AND(AK$7=$I14,ISNUMBER($I14)),"◆","")</f>
        <v/>
      </c>
      <c r="AL14" s="57" t="str">
        <f aca="false">IF(AND(AL$7=$I14,ISNUMBER($I14)),"◆","")</f>
        <v/>
      </c>
      <c r="AM14" s="57" t="str">
        <f aca="false">IF(AND(AM$7=$I14,ISNUMBER($I14)),"◆","")</f>
        <v/>
      </c>
      <c r="AN14" s="57" t="str">
        <f aca="false">IF(AND(AN$7=$I14,ISNUMBER($I14)),"◆","")</f>
        <v/>
      </c>
      <c r="AO14" s="57" t="str">
        <f aca="false">IF(AND(AO$7=$I14,ISNUMBER($I14)),"◆","")</f>
        <v/>
      </c>
      <c r="AP14" s="57" t="str">
        <f aca="false">IF(AND(AP$7=$I14,ISNUMBER($I14)),"◆","")</f>
        <v/>
      </c>
      <c r="AQ14" s="57" t="str">
        <f aca="false">IF(AND(AQ$7=$I14,ISNUMBER($I14)),"◆","")</f>
        <v/>
      </c>
      <c r="AR14" s="57" t="str">
        <f aca="false">IF(AND(AR$7=$I14,ISNUMBER($I14)),"◆","")</f>
        <v/>
      </c>
      <c r="AS14" s="57" t="str">
        <f aca="false">IF(AND(AS$7=$I14,ISNUMBER($I14)),"◆","")</f>
        <v/>
      </c>
      <c r="AT14" s="57" t="str">
        <f aca="false">IF(AND(AT$7=$I14,ISNUMBER($I14)),"◆","")</f>
        <v/>
      </c>
      <c r="AU14" s="57" t="str">
        <f aca="false">IF(AND(AU$7=$I14,ISNUMBER($I14)),"◆","")</f>
        <v/>
      </c>
      <c r="AV14" s="57" t="str">
        <f aca="false">IF(AND(AV$7=$I14,ISNUMBER($I14)),"◆","")</f>
        <v/>
      </c>
      <c r="AW14" s="57" t="str">
        <f aca="false">IF(AND(AW$7=$I14,ISNUMBER($I14)),"◆","")</f>
        <v/>
      </c>
      <c r="AX14" s="57" t="str">
        <f aca="false">IF(AND(AX$7=$I14,ISNUMBER($I14)),"◆","")</f>
        <v/>
      </c>
      <c r="AY14" s="57" t="str">
        <f aca="false">IF(AND(AY$7=$I14,ISNUMBER($I14)),"◆","")</f>
        <v/>
      </c>
      <c r="AZ14" s="57" t="str">
        <f aca="false">IF(AND(AZ$7=$I14,ISNUMBER($I14)),"◆","")</f>
        <v/>
      </c>
      <c r="BA14" s="57" t="str">
        <f aca="false">IF(AND(BA$7=$I14,ISNUMBER($I14)),"◆","")</f>
        <v/>
      </c>
      <c r="BB14" s="57" t="str">
        <f aca="false">IF(AND(BB$7=$I14,ISNUMBER($I14)),"◆","")</f>
        <v/>
      </c>
      <c r="BC14" s="57" t="str">
        <f aca="false">IF(AND(BC$7=$I14,ISNUMBER($I14)),"◆","")</f>
        <v/>
      </c>
      <c r="BD14" s="57" t="str">
        <f aca="false">IF(AND(BD$7=$I14,ISNUMBER($I14)),"◆","")</f>
        <v/>
      </c>
      <c r="BE14" s="57" t="str">
        <f aca="false">IF(AND(BE$7=$I14,ISNUMBER($I14)),"◆","")</f>
        <v/>
      </c>
      <c r="BF14" s="57" t="str">
        <f aca="false">IF(AND(BF$7=$I14,ISNUMBER($I14)),"◆","")</f>
        <v/>
      </c>
      <c r="BG14" s="57" t="str">
        <f aca="false">IF(AND(BG$7=$I14,ISNUMBER($I14)),"◆","")</f>
        <v/>
      </c>
      <c r="BH14" s="57" t="str">
        <f aca="false">IF(AND(BH$7=$I14,ISNUMBER($I14)),"◆","")</f>
        <v/>
      </c>
      <c r="BI14" s="57" t="str">
        <f aca="false">IF(AND(BI$7=$I14,ISNUMBER($I14)),"◆","")</f>
        <v/>
      </c>
      <c r="BJ14" s="57" t="str">
        <f aca="false">IF(AND(BJ$7=$I14,ISNUMBER($I14)),"◆","")</f>
        <v/>
      </c>
      <c r="BK14" s="57" t="str">
        <f aca="false">IF(AND(BK$7=$I14,ISNUMBER($I14)),"◆","")</f>
        <v/>
      </c>
      <c r="BL14" s="57" t="str">
        <f aca="false">IF(AND(BL$7=$I14,ISNUMBER($I14)),"◆","")</f>
        <v/>
      </c>
      <c r="BM14" s="57" t="str">
        <f aca="false">IF(AND(BM$7=$I14,ISNUMBER($I14)),"◆","")</f>
        <v/>
      </c>
      <c r="BN14" s="57" t="str">
        <f aca="false">IF(AND(BN$7=$I14,ISNUMBER($I14)),"◆","")</f>
        <v/>
      </c>
      <c r="BO14" s="57" t="str">
        <f aca="false">IF(AND(BO$7=$I14,ISNUMBER($I14)),"◆","")</f>
        <v/>
      </c>
      <c r="BP14" s="57" t="str">
        <f aca="false">IF(AND(BP$7=$I14,ISNUMBER($I14)),"◆","")</f>
        <v/>
      </c>
      <c r="BQ14" s="57" t="str">
        <f aca="false">IF(AND(BQ$7=$I14,ISNUMBER($I14)),"◆","")</f>
        <v/>
      </c>
      <c r="BR14" s="57" t="str">
        <f aca="false">IF(AND(BR$7=$I14,ISNUMBER($I14)),"◆","")</f>
        <v/>
      </c>
      <c r="BS14" s="57" t="str">
        <f aca="false">IF(AND(BS$7=$I14,ISNUMBER($I14)),"◆","")</f>
        <v/>
      </c>
      <c r="BT14" s="57" t="str">
        <f aca="false">IF(AND(BT$7=$I14,ISNUMBER($I14)),"◆","")</f>
        <v/>
      </c>
      <c r="BU14" s="57" t="str">
        <f aca="false">IF(AND(BU$7=$I14,ISNUMBER($I14)),"◆","")</f>
        <v/>
      </c>
      <c r="BV14" s="57" t="str">
        <f aca="false">IF(AND(BV$7=$I14,ISNUMBER($I14)),"◆","")</f>
        <v/>
      </c>
      <c r="BW14" s="57" t="str">
        <f aca="false">IF(AND(BW$7=$I14,ISNUMBER($I14)),"◆","")</f>
        <v/>
      </c>
      <c r="BX14" s="57" t="str">
        <f aca="false">IF(AND(BX$7=$I14,ISNUMBER($I14)),"◆","")</f>
        <v/>
      </c>
      <c r="BY14" s="57" t="str">
        <f aca="false">IF(AND(BY$7=$I14,ISNUMBER($I14)),"◆","")</f>
        <v/>
      </c>
      <c r="BZ14" s="57" t="str">
        <f aca="false">IF(AND(BZ$7=$I14,ISNUMBER($I14)),"◆","")</f>
        <v/>
      </c>
      <c r="CA14" s="57" t="str">
        <f aca="false">IF(AND(CA$7=$I14,ISNUMBER($I14)),"◆","")</f>
        <v/>
      </c>
      <c r="CB14" s="57" t="str">
        <f aca="false">IF(AND(CB$7=$I14,ISNUMBER($I14)),"◆","")</f>
        <v/>
      </c>
      <c r="CC14" s="57" t="str">
        <f aca="false">IF(AND(CC$7=$I14,ISNUMBER($I14)),"◆","")</f>
        <v/>
      </c>
      <c r="CD14" s="57" t="str">
        <f aca="false">IF(AND(CD$7=$I14,ISNUMBER($I14)),"◆","")</f>
        <v/>
      </c>
      <c r="CE14" s="57" t="str">
        <f aca="false">IF(AND(CE$7=$I14,ISNUMBER($I14)),"◆","")</f>
        <v/>
      </c>
      <c r="CF14" s="57" t="str">
        <f aca="false">IF(AND(CF$7=$I14,ISNUMBER($I14)),"◆","")</f>
        <v/>
      </c>
      <c r="CG14" s="57" t="str">
        <f aca="false">IF(AND(CG$7=$I14,ISNUMBER($I14)),"◆","")</f>
        <v/>
      </c>
      <c r="CH14" s="57" t="str">
        <f aca="false">IF(AND(CH$7=$I14,ISNUMBER($I14)),"◆","")</f>
        <v/>
      </c>
      <c r="CI14" s="57" t="str">
        <f aca="false">IF(AND(CI$7=$I14,ISNUMBER($I14)),"◆","")</f>
        <v/>
      </c>
      <c r="CJ14" s="57" t="str">
        <f aca="false">IF(AND(CJ$7=$I14,ISNUMBER($I14)),"◆","")</f>
        <v/>
      </c>
      <c r="CK14" s="57" t="str">
        <f aca="false">IF(AND(CK$7=$I14,ISNUMBER($I14)),"◆","")</f>
        <v/>
      </c>
      <c r="CL14" s="57" t="str">
        <f aca="false">IF(AND(CL$7=$I14,ISNUMBER($I14)),"◆","")</f>
        <v/>
      </c>
      <c r="CM14" s="57" t="str">
        <f aca="false">IF(AND(CM$7=$I14,ISNUMBER($I14)),"◆","")</f>
        <v/>
      </c>
      <c r="CN14" s="57" t="str">
        <f aca="false">IF(AND(CN$7=$I14,ISNUMBER($I14)),"◆","")</f>
        <v/>
      </c>
      <c r="CO14" s="57" t="str">
        <f aca="false">IF(AND(CO$7=$I14,ISNUMBER($I14)),"◆","")</f>
        <v/>
      </c>
      <c r="CP14" s="57" t="str">
        <f aca="false">IF(AND(CP$7=$I14,ISNUMBER($I14)),"◆","")</f>
        <v/>
      </c>
      <c r="CQ14" s="57" t="str">
        <f aca="false">IF(AND(CQ$7=$I14,ISNUMBER($I14)),"◆","")</f>
        <v/>
      </c>
      <c r="CR14" s="57" t="str">
        <f aca="false">IF(AND(CR$7=$I14,ISNUMBER($I14)),"◆","")</f>
        <v/>
      </c>
      <c r="CS14" s="57" t="str">
        <f aca="false">IF(AND(CS$7=$I14,ISNUMBER($I14)),"◆","")</f>
        <v/>
      </c>
      <c r="CT14" s="57" t="str">
        <f aca="false">IF(AND(CT$7=$I14,ISNUMBER($I14)),"◆","")</f>
        <v/>
      </c>
      <c r="CU14" s="57" t="str">
        <f aca="false">IF(AND(CU$7=$I14,ISNUMBER($I14)),"◆","")</f>
        <v/>
      </c>
      <c r="CV14" s="57" t="str">
        <f aca="false">IF(AND(CV$7=$I14,ISNUMBER($I14)),"◆","")</f>
        <v/>
      </c>
      <c r="CW14" s="57" t="str">
        <f aca="false">IF(AND(CW$7=$I14,ISNUMBER($I14)),"◆","")</f>
        <v/>
      </c>
      <c r="CX14" s="57" t="str">
        <f aca="false">IF(AND(CX$7=$I14,ISNUMBER($I14)),"◆","")</f>
        <v/>
      </c>
      <c r="CY14" s="57" t="str">
        <f aca="false">IF(AND(CY$7=$I14,ISNUMBER($I14)),"◆","")</f>
        <v/>
      </c>
      <c r="CZ14" s="57" t="str">
        <f aca="false">IF(AND(CZ$7=$I14,ISNUMBER($I14)),"◆","")</f>
        <v/>
      </c>
      <c r="DA14" s="57" t="str">
        <f aca="false">IF(AND(DA$7=$I14,ISNUMBER($I14)),"◆","")</f>
        <v/>
      </c>
      <c r="DB14" s="57" t="str">
        <f aca="false">IF(AND(DB$7=$I14,ISNUMBER($I14)),"◆","")</f>
        <v/>
      </c>
      <c r="DC14" s="57" t="str">
        <f aca="false">IF(AND(DC$7=$I14,ISNUMBER($I14)),"◆","")</f>
        <v/>
      </c>
      <c r="DD14" s="57" t="str">
        <f aca="false">IF(AND(DD$7=$I14,ISNUMBER($I14)),"◆","")</f>
        <v/>
      </c>
      <c r="DE14" s="57" t="str">
        <f aca="false">IF(AND(DE$7=$I14,ISNUMBER($I14)),"◆","")</f>
        <v/>
      </c>
      <c r="DF14" s="57" t="str">
        <f aca="false">IF(AND(DF$7=$I14,ISNUMBER($I14)),"◆","")</f>
        <v/>
      </c>
      <c r="DG14" s="57" t="str">
        <f aca="false">IF(AND(DG$7=$I14,ISNUMBER($I14)),"◆","")</f>
        <v/>
      </c>
      <c r="DH14" s="57" t="str">
        <f aca="false">IF(AND(DH$7=$I14,ISNUMBER($I14)),"◆","")</f>
        <v/>
      </c>
      <c r="DI14" s="57" t="str">
        <f aca="false">IF(AND(DI$7=$I14,ISNUMBER($I14)),"◆","")</f>
        <v/>
      </c>
      <c r="DJ14" s="57" t="str">
        <f aca="false">IF(AND(DJ$7=$I14,ISNUMBER($I14)),"◆","")</f>
        <v/>
      </c>
      <c r="DK14" s="57" t="str">
        <f aca="false">IF(AND(DK$7=$I14,ISNUMBER($I14)),"◆","")</f>
        <v/>
      </c>
      <c r="DL14" s="57" t="str">
        <f aca="false">IF(AND(DL$7=$I14,ISNUMBER($I14)),"◆","")</f>
        <v/>
      </c>
      <c r="DM14" s="57" t="str">
        <f aca="false">IF(AND(DM$7=$I14,ISNUMBER($I14)),"◆","")</f>
        <v/>
      </c>
      <c r="DN14" s="57" t="str">
        <f aca="false">IF(AND(DN$7=$I14,ISNUMBER($I14)),"◆","")</f>
        <v/>
      </c>
      <c r="DO14" s="57" t="str">
        <f aca="false">IF(AND(DO$7=$I14,ISNUMBER($I14)),"◆","")</f>
        <v/>
      </c>
      <c r="DP14" s="57" t="str">
        <f aca="false">IF(AND(DP$7=$I14,ISNUMBER($I14)),"◆","")</f>
        <v/>
      </c>
      <c r="DQ14" s="57" t="str">
        <f aca="false">IF(AND(DQ$7=$I14,ISNUMBER($I14)),"◆","")</f>
        <v/>
      </c>
      <c r="DR14" s="57" t="str">
        <f aca="false">IF(AND(DR$7=$I14,ISNUMBER($I14)),"◆","")</f>
        <v/>
      </c>
      <c r="DS14" s="57" t="str">
        <f aca="false">IF(AND(DS$7=$I14,ISNUMBER($I14)),"◆","")</f>
        <v/>
      </c>
      <c r="DT14" s="57" t="str">
        <f aca="false">IF(AND(DT$7=$I14,ISNUMBER($I14)),"◆","")</f>
        <v/>
      </c>
      <c r="DU14" s="57" t="str">
        <f aca="false">IF(AND(DU$7=$I14,ISNUMBER($I14)),"◆","")</f>
        <v/>
      </c>
      <c r="DV14" s="57" t="str">
        <f aca="false">IF(AND(DV$7=$I14,ISNUMBER($I14)),"◆","")</f>
        <v/>
      </c>
      <c r="DW14" s="57" t="str">
        <f aca="false">IF(AND(DW$7=$I14,ISNUMBER($I14)),"◆","")</f>
        <v/>
      </c>
      <c r="DX14" s="57" t="str">
        <f aca="false">IF(AND(DX$7=$I14,ISNUMBER($I14)),"◆","")</f>
        <v/>
      </c>
      <c r="DY14" s="57" t="str">
        <f aca="false">IF(AND(DY$7=$I14,ISNUMBER($I14)),"◆","")</f>
        <v/>
      </c>
      <c r="DZ14" s="57" t="str">
        <f aca="false">IF(AND(DZ$7=$I14,ISNUMBER($I14)),"◆","")</f>
        <v/>
      </c>
      <c r="EA14" s="57" t="str">
        <f aca="false">IF(AND(EA$7=$I14,ISNUMBER($I14)),"◆","")</f>
        <v/>
      </c>
      <c r="EB14" s="57" t="str">
        <f aca="false">IF(AND(EB$7=$I14,ISNUMBER($I14)),"◆","")</f>
        <v/>
      </c>
      <c r="EC14" s="57" t="str">
        <f aca="false">IF(AND(EC$7=$I14,ISNUMBER($I14)),"◆","")</f>
        <v/>
      </c>
      <c r="ED14" s="57" t="str">
        <f aca="false">IF(AND(ED$7=$I14,ISNUMBER($I14)),"◆","")</f>
        <v/>
      </c>
      <c r="EE14" s="57" t="str">
        <f aca="false">IF(AND(EE$7=$I14,ISNUMBER($I14)),"◆","")</f>
        <v/>
      </c>
      <c r="EF14" s="57" t="str">
        <f aca="false">IF(AND(EF$7=$I14,ISNUMBER($I14)),"◆","")</f>
        <v/>
      </c>
      <c r="EG14" s="57" t="str">
        <f aca="false">IF(AND(EG$7=$I14,ISNUMBER($I14)),"◆","")</f>
        <v/>
      </c>
      <c r="EH14" s="57" t="str">
        <f aca="false">IF(AND(EH$7=$I14,ISNUMBER($I14)),"◆","")</f>
        <v/>
      </c>
      <c r="EI14" s="57" t="str">
        <f aca="false">IF(AND(EI$7=$I14,ISNUMBER($I14)),"◆","")</f>
        <v/>
      </c>
      <c r="EJ14" s="57" t="str">
        <f aca="false">IF(AND(EJ$7=$I14,ISNUMBER($I14)),"◆","")</f>
        <v/>
      </c>
      <c r="EK14" s="57" t="str">
        <f aca="false">IF(AND(EK$7=$I14,ISNUMBER($I14)),"◆","")</f>
        <v/>
      </c>
      <c r="EL14" s="57" t="str">
        <f aca="false">IF(AND(EL$7=$I14,ISNUMBER($I14)),"◆","")</f>
        <v/>
      </c>
      <c r="EM14" s="57" t="str">
        <f aca="false">IF(AND(EM$7=$I14,ISNUMBER($I14)),"◆","")</f>
        <v/>
      </c>
    </row>
    <row r="15" customFormat="false" ht="25.5" hidden="false" customHeight="true" outlineLevel="0" collapsed="false">
      <c r="A15" s="50" t="str">
        <f aca="false">制作工程表!A13</f>
        <v>T05</v>
      </c>
      <c r="B15" s="51" t="str">
        <f aca="false">制作工程表!B13</f>
        <v>設計確認</v>
      </c>
      <c r="C15" s="52" t="str">
        <f aca="false">制作工程表!C13</f>
        <v>ワイヤーフレームのご確認</v>
      </c>
      <c r="D15" s="53" t="str">
        <f aca="false">制作工程表!D13</f>
        <v>総務窓口</v>
      </c>
      <c r="E15" s="53" t="str">
        <f aca="false">制作工程表!E13</f>
        <v>代表・営業・生産管理</v>
      </c>
      <c r="F15" s="54" t="str">
        <f aca="false">IF(制作工程表!B13="取材撮影","撮影",IF(OR(制作工程表!D13="総務窓口",制作工程表!D13="工場長",制作工程表!D13="代表",制作工程表!D13="営業・生産管理"),"企業","制作"))</f>
        <v>企業</v>
      </c>
      <c r="G15" s="55" t="n">
        <f aca="false">制作工程表!G13</f>
        <v>46357</v>
      </c>
      <c r="H15" s="55" t="n">
        <f aca="false">制作工程表!H13</f>
        <v>46365</v>
      </c>
      <c r="I15" s="56" t="n">
        <f aca="false">制作工程表!I13</f>
        <v>46365</v>
      </c>
      <c r="J15" s="51" t="str">
        <f aca="false">制作工程表!K13</f>
        <v>未着手</v>
      </c>
      <c r="K15" s="57" t="str">
        <f aca="false">IF(AND(K$7=$I15,ISNUMBER($I15)),"◆","")</f>
        <v/>
      </c>
      <c r="L15" s="57" t="str">
        <f aca="false">IF(AND(L$7=$I15,ISNUMBER($I15)),"◆","")</f>
        <v/>
      </c>
      <c r="M15" s="57" t="str">
        <f aca="false">IF(AND(M$7=$I15,ISNUMBER($I15)),"◆","")</f>
        <v/>
      </c>
      <c r="N15" s="57" t="str">
        <f aca="false">IF(AND(N$7=$I15,ISNUMBER($I15)),"◆","")</f>
        <v/>
      </c>
      <c r="O15" s="57" t="str">
        <f aca="false">IF(AND(O$7=$I15,ISNUMBER($I15)),"◆","")</f>
        <v/>
      </c>
      <c r="P15" s="57" t="str">
        <f aca="false">IF(AND(P$7=$I15,ISNUMBER($I15)),"◆","")</f>
        <v/>
      </c>
      <c r="Q15" s="57" t="str">
        <f aca="false">IF(AND(Q$7=$I15,ISNUMBER($I15)),"◆","")</f>
        <v/>
      </c>
      <c r="R15" s="57" t="str">
        <f aca="false">IF(AND(R$7=$I15,ISNUMBER($I15)),"◆","")</f>
        <v/>
      </c>
      <c r="S15" s="57" t="str">
        <f aca="false">IF(AND(S$7=$I15,ISNUMBER($I15)),"◆","")</f>
        <v/>
      </c>
      <c r="T15" s="57" t="str">
        <f aca="false">IF(AND(T$7=$I15,ISNUMBER($I15)),"◆","")</f>
        <v/>
      </c>
      <c r="U15" s="57" t="str">
        <f aca="false">IF(AND(U$7=$I15,ISNUMBER($I15)),"◆","")</f>
        <v/>
      </c>
      <c r="V15" s="57" t="str">
        <f aca="false">IF(AND(V$7=$I15,ISNUMBER($I15)),"◆","")</f>
        <v/>
      </c>
      <c r="W15" s="57" t="str">
        <f aca="false">IF(AND(W$7=$I15,ISNUMBER($I15)),"◆","")</f>
        <v/>
      </c>
      <c r="X15" s="57" t="str">
        <f aca="false">IF(AND(X$7=$I15,ISNUMBER($I15)),"◆","")</f>
        <v/>
      </c>
      <c r="Y15" s="57" t="str">
        <f aca="false">IF(AND(Y$7=$I15,ISNUMBER($I15)),"◆","")</f>
        <v/>
      </c>
      <c r="Z15" s="57" t="str">
        <f aca="false">IF(AND(Z$7=$I15,ISNUMBER($I15)),"◆","")</f>
        <v/>
      </c>
      <c r="AA15" s="57" t="str">
        <f aca="false">IF(AND(AA$7=$I15,ISNUMBER($I15)),"◆","")</f>
        <v/>
      </c>
      <c r="AB15" s="57" t="str">
        <f aca="false">IF(AND(AB$7=$I15,ISNUMBER($I15)),"◆","")</f>
        <v/>
      </c>
      <c r="AC15" s="57" t="str">
        <f aca="false">IF(AND(AC$7=$I15,ISNUMBER($I15)),"◆","")</f>
        <v/>
      </c>
      <c r="AD15" s="57" t="str">
        <f aca="false">IF(AND(AD$7=$I15,ISNUMBER($I15)),"◆","")</f>
        <v/>
      </c>
      <c r="AE15" s="57" t="str">
        <f aca="false">IF(AND(AE$7=$I15,ISNUMBER($I15)),"◆","")</f>
        <v/>
      </c>
      <c r="AF15" s="57" t="str">
        <f aca="false">IF(AND(AF$7=$I15,ISNUMBER($I15)),"◆","")</f>
        <v/>
      </c>
      <c r="AG15" s="57" t="str">
        <f aca="false">IF(AND(AG$7=$I15,ISNUMBER($I15)),"◆","")</f>
        <v/>
      </c>
      <c r="AH15" s="57" t="str">
        <f aca="false">IF(AND(AH$7=$I15,ISNUMBER($I15)),"◆","")</f>
        <v/>
      </c>
      <c r="AI15" s="57" t="str">
        <f aca="false">IF(AND(AI$7=$I15,ISNUMBER($I15)),"◆","")</f>
        <v/>
      </c>
      <c r="AJ15" s="57" t="str">
        <f aca="false">IF(AND(AJ$7=$I15,ISNUMBER($I15)),"◆","")</f>
        <v/>
      </c>
      <c r="AK15" s="57" t="str">
        <f aca="false">IF(AND(AK$7=$I15,ISNUMBER($I15)),"◆","")</f>
        <v/>
      </c>
      <c r="AL15" s="57" t="str">
        <f aca="false">IF(AND(AL$7=$I15,ISNUMBER($I15)),"◆","")</f>
        <v/>
      </c>
      <c r="AM15" s="57" t="str">
        <f aca="false">IF(AND(AM$7=$I15,ISNUMBER($I15)),"◆","")</f>
        <v/>
      </c>
      <c r="AN15" s="57" t="str">
        <f aca="false">IF(AND(AN$7=$I15,ISNUMBER($I15)),"◆","")</f>
        <v/>
      </c>
      <c r="AO15" s="57" t="str">
        <f aca="false">IF(AND(AO$7=$I15,ISNUMBER($I15)),"◆","")</f>
        <v/>
      </c>
      <c r="AP15" s="57" t="str">
        <f aca="false">IF(AND(AP$7=$I15,ISNUMBER($I15)),"◆","")</f>
        <v/>
      </c>
      <c r="AQ15" s="57" t="str">
        <f aca="false">IF(AND(AQ$7=$I15,ISNUMBER($I15)),"◆","")</f>
        <v/>
      </c>
      <c r="AR15" s="57" t="str">
        <f aca="false">IF(AND(AR$7=$I15,ISNUMBER($I15)),"◆","")</f>
        <v/>
      </c>
      <c r="AS15" s="57" t="str">
        <f aca="false">IF(AND(AS$7=$I15,ISNUMBER($I15)),"◆","")</f>
        <v/>
      </c>
      <c r="AT15" s="57" t="str">
        <f aca="false">IF(AND(AT$7=$I15,ISNUMBER($I15)),"◆","")</f>
        <v/>
      </c>
      <c r="AU15" s="57" t="str">
        <f aca="false">IF(AND(AU$7=$I15,ISNUMBER($I15)),"◆","")</f>
        <v/>
      </c>
      <c r="AV15" s="57" t="str">
        <f aca="false">IF(AND(AV$7=$I15,ISNUMBER($I15)),"◆","")</f>
        <v>◆</v>
      </c>
      <c r="AW15" s="57" t="str">
        <f aca="false">IF(AND(AW$7=$I15,ISNUMBER($I15)),"◆","")</f>
        <v/>
      </c>
      <c r="AX15" s="57" t="str">
        <f aca="false">IF(AND(AX$7=$I15,ISNUMBER($I15)),"◆","")</f>
        <v/>
      </c>
      <c r="AY15" s="57" t="str">
        <f aca="false">IF(AND(AY$7=$I15,ISNUMBER($I15)),"◆","")</f>
        <v/>
      </c>
      <c r="AZ15" s="57" t="str">
        <f aca="false">IF(AND(AZ$7=$I15,ISNUMBER($I15)),"◆","")</f>
        <v/>
      </c>
      <c r="BA15" s="57" t="str">
        <f aca="false">IF(AND(BA$7=$I15,ISNUMBER($I15)),"◆","")</f>
        <v/>
      </c>
      <c r="BB15" s="57" t="str">
        <f aca="false">IF(AND(BB$7=$I15,ISNUMBER($I15)),"◆","")</f>
        <v/>
      </c>
      <c r="BC15" s="57" t="str">
        <f aca="false">IF(AND(BC$7=$I15,ISNUMBER($I15)),"◆","")</f>
        <v/>
      </c>
      <c r="BD15" s="57" t="str">
        <f aca="false">IF(AND(BD$7=$I15,ISNUMBER($I15)),"◆","")</f>
        <v/>
      </c>
      <c r="BE15" s="57" t="str">
        <f aca="false">IF(AND(BE$7=$I15,ISNUMBER($I15)),"◆","")</f>
        <v/>
      </c>
      <c r="BF15" s="57" t="str">
        <f aca="false">IF(AND(BF$7=$I15,ISNUMBER($I15)),"◆","")</f>
        <v/>
      </c>
      <c r="BG15" s="57" t="str">
        <f aca="false">IF(AND(BG$7=$I15,ISNUMBER($I15)),"◆","")</f>
        <v/>
      </c>
      <c r="BH15" s="57" t="str">
        <f aca="false">IF(AND(BH$7=$I15,ISNUMBER($I15)),"◆","")</f>
        <v/>
      </c>
      <c r="BI15" s="57" t="str">
        <f aca="false">IF(AND(BI$7=$I15,ISNUMBER($I15)),"◆","")</f>
        <v/>
      </c>
      <c r="BJ15" s="57" t="str">
        <f aca="false">IF(AND(BJ$7=$I15,ISNUMBER($I15)),"◆","")</f>
        <v/>
      </c>
      <c r="BK15" s="57" t="str">
        <f aca="false">IF(AND(BK$7=$I15,ISNUMBER($I15)),"◆","")</f>
        <v/>
      </c>
      <c r="BL15" s="57" t="str">
        <f aca="false">IF(AND(BL$7=$I15,ISNUMBER($I15)),"◆","")</f>
        <v/>
      </c>
      <c r="BM15" s="57" t="str">
        <f aca="false">IF(AND(BM$7=$I15,ISNUMBER($I15)),"◆","")</f>
        <v/>
      </c>
      <c r="BN15" s="57" t="str">
        <f aca="false">IF(AND(BN$7=$I15,ISNUMBER($I15)),"◆","")</f>
        <v/>
      </c>
      <c r="BO15" s="57" t="str">
        <f aca="false">IF(AND(BO$7=$I15,ISNUMBER($I15)),"◆","")</f>
        <v/>
      </c>
      <c r="BP15" s="57" t="str">
        <f aca="false">IF(AND(BP$7=$I15,ISNUMBER($I15)),"◆","")</f>
        <v/>
      </c>
      <c r="BQ15" s="57" t="str">
        <f aca="false">IF(AND(BQ$7=$I15,ISNUMBER($I15)),"◆","")</f>
        <v/>
      </c>
      <c r="BR15" s="57" t="str">
        <f aca="false">IF(AND(BR$7=$I15,ISNUMBER($I15)),"◆","")</f>
        <v/>
      </c>
      <c r="BS15" s="57" t="str">
        <f aca="false">IF(AND(BS$7=$I15,ISNUMBER($I15)),"◆","")</f>
        <v/>
      </c>
      <c r="BT15" s="57" t="str">
        <f aca="false">IF(AND(BT$7=$I15,ISNUMBER($I15)),"◆","")</f>
        <v/>
      </c>
      <c r="BU15" s="57" t="str">
        <f aca="false">IF(AND(BU$7=$I15,ISNUMBER($I15)),"◆","")</f>
        <v/>
      </c>
      <c r="BV15" s="57" t="str">
        <f aca="false">IF(AND(BV$7=$I15,ISNUMBER($I15)),"◆","")</f>
        <v/>
      </c>
      <c r="BW15" s="57" t="str">
        <f aca="false">IF(AND(BW$7=$I15,ISNUMBER($I15)),"◆","")</f>
        <v/>
      </c>
      <c r="BX15" s="57" t="str">
        <f aca="false">IF(AND(BX$7=$I15,ISNUMBER($I15)),"◆","")</f>
        <v/>
      </c>
      <c r="BY15" s="57" t="str">
        <f aca="false">IF(AND(BY$7=$I15,ISNUMBER($I15)),"◆","")</f>
        <v/>
      </c>
      <c r="BZ15" s="57" t="str">
        <f aca="false">IF(AND(BZ$7=$I15,ISNUMBER($I15)),"◆","")</f>
        <v/>
      </c>
      <c r="CA15" s="57" t="str">
        <f aca="false">IF(AND(CA$7=$I15,ISNUMBER($I15)),"◆","")</f>
        <v/>
      </c>
      <c r="CB15" s="57" t="str">
        <f aca="false">IF(AND(CB$7=$I15,ISNUMBER($I15)),"◆","")</f>
        <v/>
      </c>
      <c r="CC15" s="57" t="str">
        <f aca="false">IF(AND(CC$7=$I15,ISNUMBER($I15)),"◆","")</f>
        <v/>
      </c>
      <c r="CD15" s="57" t="str">
        <f aca="false">IF(AND(CD$7=$I15,ISNUMBER($I15)),"◆","")</f>
        <v/>
      </c>
      <c r="CE15" s="57" t="str">
        <f aca="false">IF(AND(CE$7=$I15,ISNUMBER($I15)),"◆","")</f>
        <v/>
      </c>
      <c r="CF15" s="57" t="str">
        <f aca="false">IF(AND(CF$7=$I15,ISNUMBER($I15)),"◆","")</f>
        <v/>
      </c>
      <c r="CG15" s="57" t="str">
        <f aca="false">IF(AND(CG$7=$I15,ISNUMBER($I15)),"◆","")</f>
        <v/>
      </c>
      <c r="CH15" s="57" t="str">
        <f aca="false">IF(AND(CH$7=$I15,ISNUMBER($I15)),"◆","")</f>
        <v/>
      </c>
      <c r="CI15" s="57" t="str">
        <f aca="false">IF(AND(CI$7=$I15,ISNUMBER($I15)),"◆","")</f>
        <v/>
      </c>
      <c r="CJ15" s="57" t="str">
        <f aca="false">IF(AND(CJ$7=$I15,ISNUMBER($I15)),"◆","")</f>
        <v/>
      </c>
      <c r="CK15" s="57" t="str">
        <f aca="false">IF(AND(CK$7=$I15,ISNUMBER($I15)),"◆","")</f>
        <v/>
      </c>
      <c r="CL15" s="57" t="str">
        <f aca="false">IF(AND(CL$7=$I15,ISNUMBER($I15)),"◆","")</f>
        <v/>
      </c>
      <c r="CM15" s="57" t="str">
        <f aca="false">IF(AND(CM$7=$I15,ISNUMBER($I15)),"◆","")</f>
        <v/>
      </c>
      <c r="CN15" s="57" t="str">
        <f aca="false">IF(AND(CN$7=$I15,ISNUMBER($I15)),"◆","")</f>
        <v/>
      </c>
      <c r="CO15" s="57" t="str">
        <f aca="false">IF(AND(CO$7=$I15,ISNUMBER($I15)),"◆","")</f>
        <v/>
      </c>
      <c r="CP15" s="57" t="str">
        <f aca="false">IF(AND(CP$7=$I15,ISNUMBER($I15)),"◆","")</f>
        <v/>
      </c>
      <c r="CQ15" s="57" t="str">
        <f aca="false">IF(AND(CQ$7=$I15,ISNUMBER($I15)),"◆","")</f>
        <v/>
      </c>
      <c r="CR15" s="57" t="str">
        <f aca="false">IF(AND(CR$7=$I15,ISNUMBER($I15)),"◆","")</f>
        <v/>
      </c>
      <c r="CS15" s="57" t="str">
        <f aca="false">IF(AND(CS$7=$I15,ISNUMBER($I15)),"◆","")</f>
        <v/>
      </c>
      <c r="CT15" s="57" t="str">
        <f aca="false">IF(AND(CT$7=$I15,ISNUMBER($I15)),"◆","")</f>
        <v/>
      </c>
      <c r="CU15" s="57" t="str">
        <f aca="false">IF(AND(CU$7=$I15,ISNUMBER($I15)),"◆","")</f>
        <v/>
      </c>
      <c r="CV15" s="57" t="str">
        <f aca="false">IF(AND(CV$7=$I15,ISNUMBER($I15)),"◆","")</f>
        <v/>
      </c>
      <c r="CW15" s="57" t="str">
        <f aca="false">IF(AND(CW$7=$I15,ISNUMBER($I15)),"◆","")</f>
        <v/>
      </c>
      <c r="CX15" s="57" t="str">
        <f aca="false">IF(AND(CX$7=$I15,ISNUMBER($I15)),"◆","")</f>
        <v/>
      </c>
      <c r="CY15" s="57" t="str">
        <f aca="false">IF(AND(CY$7=$I15,ISNUMBER($I15)),"◆","")</f>
        <v/>
      </c>
      <c r="CZ15" s="57" t="str">
        <f aca="false">IF(AND(CZ$7=$I15,ISNUMBER($I15)),"◆","")</f>
        <v/>
      </c>
      <c r="DA15" s="57" t="str">
        <f aca="false">IF(AND(DA$7=$I15,ISNUMBER($I15)),"◆","")</f>
        <v/>
      </c>
      <c r="DB15" s="57" t="str">
        <f aca="false">IF(AND(DB$7=$I15,ISNUMBER($I15)),"◆","")</f>
        <v/>
      </c>
      <c r="DC15" s="57" t="str">
        <f aca="false">IF(AND(DC$7=$I15,ISNUMBER($I15)),"◆","")</f>
        <v/>
      </c>
      <c r="DD15" s="57" t="str">
        <f aca="false">IF(AND(DD$7=$I15,ISNUMBER($I15)),"◆","")</f>
        <v/>
      </c>
      <c r="DE15" s="57" t="str">
        <f aca="false">IF(AND(DE$7=$I15,ISNUMBER($I15)),"◆","")</f>
        <v/>
      </c>
      <c r="DF15" s="57" t="str">
        <f aca="false">IF(AND(DF$7=$I15,ISNUMBER($I15)),"◆","")</f>
        <v/>
      </c>
      <c r="DG15" s="57" t="str">
        <f aca="false">IF(AND(DG$7=$I15,ISNUMBER($I15)),"◆","")</f>
        <v/>
      </c>
      <c r="DH15" s="57" t="str">
        <f aca="false">IF(AND(DH$7=$I15,ISNUMBER($I15)),"◆","")</f>
        <v/>
      </c>
      <c r="DI15" s="57" t="str">
        <f aca="false">IF(AND(DI$7=$I15,ISNUMBER($I15)),"◆","")</f>
        <v/>
      </c>
      <c r="DJ15" s="57" t="str">
        <f aca="false">IF(AND(DJ$7=$I15,ISNUMBER($I15)),"◆","")</f>
        <v/>
      </c>
      <c r="DK15" s="57" t="str">
        <f aca="false">IF(AND(DK$7=$I15,ISNUMBER($I15)),"◆","")</f>
        <v/>
      </c>
      <c r="DL15" s="57" t="str">
        <f aca="false">IF(AND(DL$7=$I15,ISNUMBER($I15)),"◆","")</f>
        <v/>
      </c>
      <c r="DM15" s="57" t="str">
        <f aca="false">IF(AND(DM$7=$I15,ISNUMBER($I15)),"◆","")</f>
        <v/>
      </c>
      <c r="DN15" s="57" t="str">
        <f aca="false">IF(AND(DN$7=$I15,ISNUMBER($I15)),"◆","")</f>
        <v/>
      </c>
      <c r="DO15" s="57" t="str">
        <f aca="false">IF(AND(DO$7=$I15,ISNUMBER($I15)),"◆","")</f>
        <v/>
      </c>
      <c r="DP15" s="57" t="str">
        <f aca="false">IF(AND(DP$7=$I15,ISNUMBER($I15)),"◆","")</f>
        <v/>
      </c>
      <c r="DQ15" s="57" t="str">
        <f aca="false">IF(AND(DQ$7=$I15,ISNUMBER($I15)),"◆","")</f>
        <v/>
      </c>
      <c r="DR15" s="57" t="str">
        <f aca="false">IF(AND(DR$7=$I15,ISNUMBER($I15)),"◆","")</f>
        <v/>
      </c>
      <c r="DS15" s="57" t="str">
        <f aca="false">IF(AND(DS$7=$I15,ISNUMBER($I15)),"◆","")</f>
        <v/>
      </c>
      <c r="DT15" s="57" t="str">
        <f aca="false">IF(AND(DT$7=$I15,ISNUMBER($I15)),"◆","")</f>
        <v/>
      </c>
      <c r="DU15" s="57" t="str">
        <f aca="false">IF(AND(DU$7=$I15,ISNUMBER($I15)),"◆","")</f>
        <v/>
      </c>
      <c r="DV15" s="57" t="str">
        <f aca="false">IF(AND(DV$7=$I15,ISNUMBER($I15)),"◆","")</f>
        <v/>
      </c>
      <c r="DW15" s="57" t="str">
        <f aca="false">IF(AND(DW$7=$I15,ISNUMBER($I15)),"◆","")</f>
        <v/>
      </c>
      <c r="DX15" s="57" t="str">
        <f aca="false">IF(AND(DX$7=$I15,ISNUMBER($I15)),"◆","")</f>
        <v/>
      </c>
      <c r="DY15" s="57" t="str">
        <f aca="false">IF(AND(DY$7=$I15,ISNUMBER($I15)),"◆","")</f>
        <v/>
      </c>
      <c r="DZ15" s="57" t="str">
        <f aca="false">IF(AND(DZ$7=$I15,ISNUMBER($I15)),"◆","")</f>
        <v/>
      </c>
      <c r="EA15" s="57" t="str">
        <f aca="false">IF(AND(EA$7=$I15,ISNUMBER($I15)),"◆","")</f>
        <v/>
      </c>
      <c r="EB15" s="57" t="str">
        <f aca="false">IF(AND(EB$7=$I15,ISNUMBER($I15)),"◆","")</f>
        <v/>
      </c>
      <c r="EC15" s="57" t="str">
        <f aca="false">IF(AND(EC$7=$I15,ISNUMBER($I15)),"◆","")</f>
        <v/>
      </c>
      <c r="ED15" s="57" t="str">
        <f aca="false">IF(AND(ED$7=$I15,ISNUMBER($I15)),"◆","")</f>
        <v/>
      </c>
      <c r="EE15" s="57" t="str">
        <f aca="false">IF(AND(EE$7=$I15,ISNUMBER($I15)),"◆","")</f>
        <v/>
      </c>
      <c r="EF15" s="57" t="str">
        <f aca="false">IF(AND(EF$7=$I15,ISNUMBER($I15)),"◆","")</f>
        <v/>
      </c>
      <c r="EG15" s="57" t="str">
        <f aca="false">IF(AND(EG$7=$I15,ISNUMBER($I15)),"◆","")</f>
        <v/>
      </c>
      <c r="EH15" s="57" t="str">
        <f aca="false">IF(AND(EH$7=$I15,ISNUMBER($I15)),"◆","")</f>
        <v/>
      </c>
      <c r="EI15" s="57" t="str">
        <f aca="false">IF(AND(EI$7=$I15,ISNUMBER($I15)),"◆","")</f>
        <v/>
      </c>
      <c r="EJ15" s="57" t="str">
        <f aca="false">IF(AND(EJ$7=$I15,ISNUMBER($I15)),"◆","")</f>
        <v/>
      </c>
      <c r="EK15" s="57" t="str">
        <f aca="false">IF(AND(EK$7=$I15,ISNUMBER($I15)),"◆","")</f>
        <v/>
      </c>
      <c r="EL15" s="57" t="str">
        <f aca="false">IF(AND(EL$7=$I15,ISNUMBER($I15)),"◆","")</f>
        <v/>
      </c>
      <c r="EM15" s="57" t="str">
        <f aca="false">IF(AND(EM$7=$I15,ISNUMBER($I15)),"◆","")</f>
        <v/>
      </c>
    </row>
    <row r="16" customFormat="false" ht="21.75" hidden="false" customHeight="true" outlineLevel="0" collapsed="false">
      <c r="A16" s="45" t="s">
        <v>75</v>
      </c>
      <c r="B16" s="45"/>
      <c r="C16" s="45"/>
      <c r="D16" s="45"/>
      <c r="E16" s="45"/>
      <c r="F16" s="46" t="s">
        <v>74</v>
      </c>
      <c r="G16" s="47" t="n">
        <f aca="false">MIN(制作工程表!G14:G16)</f>
        <v>46350</v>
      </c>
      <c r="H16" s="47" t="n">
        <f aca="false">MAX(制作工程表!H14:H16)</f>
        <v>46372</v>
      </c>
      <c r="I16" s="47" t="n">
        <f aca="false">IF(MAX(制作工程表!I14:I16)=0,"—",MAX(制作工程表!I14:I16))</f>
        <v>46372</v>
      </c>
      <c r="J16" s="48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</row>
    <row r="17" customFormat="false" ht="25.5" hidden="false" customHeight="true" outlineLevel="0" collapsed="false">
      <c r="A17" s="50" t="str">
        <f aca="false">制作工程表!A14</f>
        <v>T06</v>
      </c>
      <c r="B17" s="51" t="str">
        <f aca="false">制作工程表!B14</f>
        <v>取材準備</v>
      </c>
      <c r="C17" s="52" t="str">
        <f aca="false">制作工程表!C14</f>
        <v>撮影指示書・質問案の作成</v>
      </c>
      <c r="D17" s="53" t="str">
        <f aca="false">制作工程表!D14</f>
        <v>ライター・カメラマン</v>
      </c>
      <c r="E17" s="53" t="str">
        <f aca="false">制作工程表!E14</f>
        <v>—</v>
      </c>
      <c r="F17" s="54" t="str">
        <f aca="false">IF(制作工程表!B14="取材撮影","撮影",IF(OR(制作工程表!D14="総務窓口",制作工程表!D14="工場長",制作工程表!D14="代表",制作工程表!D14="営業・生産管理"),"企業","制作"))</f>
        <v>制作</v>
      </c>
      <c r="G17" s="55" t="n">
        <f aca="false">制作工程表!G14</f>
        <v>46350</v>
      </c>
      <c r="H17" s="55" t="n">
        <f aca="false">制作工程表!H14</f>
        <v>46356</v>
      </c>
      <c r="I17" s="56" t="str">
        <f aca="false">制作工程表!I14</f>
        <v>—</v>
      </c>
      <c r="J17" s="51" t="str">
        <f aca="false">制作工程表!K14</f>
        <v>未着手</v>
      </c>
      <c r="K17" s="57" t="str">
        <f aca="false">IF(AND(K$7=$I17,ISNUMBER($I17)),"◆","")</f>
        <v/>
      </c>
      <c r="L17" s="57" t="str">
        <f aca="false">IF(AND(L$7=$I17,ISNUMBER($I17)),"◆","")</f>
        <v/>
      </c>
      <c r="M17" s="57" t="str">
        <f aca="false">IF(AND(M$7=$I17,ISNUMBER($I17)),"◆","")</f>
        <v/>
      </c>
      <c r="N17" s="57" t="str">
        <f aca="false">IF(AND(N$7=$I17,ISNUMBER($I17)),"◆","")</f>
        <v/>
      </c>
      <c r="O17" s="57" t="str">
        <f aca="false">IF(AND(O$7=$I17,ISNUMBER($I17)),"◆","")</f>
        <v/>
      </c>
      <c r="P17" s="57" t="str">
        <f aca="false">IF(AND(P$7=$I17,ISNUMBER($I17)),"◆","")</f>
        <v/>
      </c>
      <c r="Q17" s="57" t="str">
        <f aca="false">IF(AND(Q$7=$I17,ISNUMBER($I17)),"◆","")</f>
        <v/>
      </c>
      <c r="R17" s="57" t="str">
        <f aca="false">IF(AND(R$7=$I17,ISNUMBER($I17)),"◆","")</f>
        <v/>
      </c>
      <c r="S17" s="57" t="str">
        <f aca="false">IF(AND(S$7=$I17,ISNUMBER($I17)),"◆","")</f>
        <v/>
      </c>
      <c r="T17" s="57" t="str">
        <f aca="false">IF(AND(T$7=$I17,ISNUMBER($I17)),"◆","")</f>
        <v/>
      </c>
      <c r="U17" s="57" t="str">
        <f aca="false">IF(AND(U$7=$I17,ISNUMBER($I17)),"◆","")</f>
        <v/>
      </c>
      <c r="V17" s="57" t="str">
        <f aca="false">IF(AND(V$7=$I17,ISNUMBER($I17)),"◆","")</f>
        <v/>
      </c>
      <c r="W17" s="57" t="str">
        <f aca="false">IF(AND(W$7=$I17,ISNUMBER($I17)),"◆","")</f>
        <v/>
      </c>
      <c r="X17" s="57" t="str">
        <f aca="false">IF(AND(X$7=$I17,ISNUMBER($I17)),"◆","")</f>
        <v/>
      </c>
      <c r="Y17" s="57" t="str">
        <f aca="false">IF(AND(Y$7=$I17,ISNUMBER($I17)),"◆","")</f>
        <v/>
      </c>
      <c r="Z17" s="57" t="str">
        <f aca="false">IF(AND(Z$7=$I17,ISNUMBER($I17)),"◆","")</f>
        <v/>
      </c>
      <c r="AA17" s="57" t="str">
        <f aca="false">IF(AND(AA$7=$I17,ISNUMBER($I17)),"◆","")</f>
        <v/>
      </c>
      <c r="AB17" s="57" t="str">
        <f aca="false">IF(AND(AB$7=$I17,ISNUMBER($I17)),"◆","")</f>
        <v/>
      </c>
      <c r="AC17" s="57" t="str">
        <f aca="false">IF(AND(AC$7=$I17,ISNUMBER($I17)),"◆","")</f>
        <v/>
      </c>
      <c r="AD17" s="57" t="str">
        <f aca="false">IF(AND(AD$7=$I17,ISNUMBER($I17)),"◆","")</f>
        <v/>
      </c>
      <c r="AE17" s="57" t="str">
        <f aca="false">IF(AND(AE$7=$I17,ISNUMBER($I17)),"◆","")</f>
        <v/>
      </c>
      <c r="AF17" s="57" t="str">
        <f aca="false">IF(AND(AF$7=$I17,ISNUMBER($I17)),"◆","")</f>
        <v/>
      </c>
      <c r="AG17" s="57" t="str">
        <f aca="false">IF(AND(AG$7=$I17,ISNUMBER($I17)),"◆","")</f>
        <v/>
      </c>
      <c r="AH17" s="57" t="str">
        <f aca="false">IF(AND(AH$7=$I17,ISNUMBER($I17)),"◆","")</f>
        <v/>
      </c>
      <c r="AI17" s="57" t="str">
        <f aca="false">IF(AND(AI$7=$I17,ISNUMBER($I17)),"◆","")</f>
        <v/>
      </c>
      <c r="AJ17" s="57" t="str">
        <f aca="false">IF(AND(AJ$7=$I17,ISNUMBER($I17)),"◆","")</f>
        <v/>
      </c>
      <c r="AK17" s="57" t="str">
        <f aca="false">IF(AND(AK$7=$I17,ISNUMBER($I17)),"◆","")</f>
        <v/>
      </c>
      <c r="AL17" s="57" t="str">
        <f aca="false">IF(AND(AL$7=$I17,ISNUMBER($I17)),"◆","")</f>
        <v/>
      </c>
      <c r="AM17" s="57" t="str">
        <f aca="false">IF(AND(AM$7=$I17,ISNUMBER($I17)),"◆","")</f>
        <v/>
      </c>
      <c r="AN17" s="57" t="str">
        <f aca="false">IF(AND(AN$7=$I17,ISNUMBER($I17)),"◆","")</f>
        <v/>
      </c>
      <c r="AO17" s="57" t="str">
        <f aca="false">IF(AND(AO$7=$I17,ISNUMBER($I17)),"◆","")</f>
        <v/>
      </c>
      <c r="AP17" s="57" t="str">
        <f aca="false">IF(AND(AP$7=$I17,ISNUMBER($I17)),"◆","")</f>
        <v/>
      </c>
      <c r="AQ17" s="57" t="str">
        <f aca="false">IF(AND(AQ$7=$I17,ISNUMBER($I17)),"◆","")</f>
        <v/>
      </c>
      <c r="AR17" s="57" t="str">
        <f aca="false">IF(AND(AR$7=$I17,ISNUMBER($I17)),"◆","")</f>
        <v/>
      </c>
      <c r="AS17" s="57" t="str">
        <f aca="false">IF(AND(AS$7=$I17,ISNUMBER($I17)),"◆","")</f>
        <v/>
      </c>
      <c r="AT17" s="57" t="str">
        <f aca="false">IF(AND(AT$7=$I17,ISNUMBER($I17)),"◆","")</f>
        <v/>
      </c>
      <c r="AU17" s="57" t="str">
        <f aca="false">IF(AND(AU$7=$I17,ISNUMBER($I17)),"◆","")</f>
        <v/>
      </c>
      <c r="AV17" s="57" t="str">
        <f aca="false">IF(AND(AV$7=$I17,ISNUMBER($I17)),"◆","")</f>
        <v/>
      </c>
      <c r="AW17" s="57" t="str">
        <f aca="false">IF(AND(AW$7=$I17,ISNUMBER($I17)),"◆","")</f>
        <v/>
      </c>
      <c r="AX17" s="57" t="str">
        <f aca="false">IF(AND(AX$7=$I17,ISNUMBER($I17)),"◆","")</f>
        <v/>
      </c>
      <c r="AY17" s="57" t="str">
        <f aca="false">IF(AND(AY$7=$I17,ISNUMBER($I17)),"◆","")</f>
        <v/>
      </c>
      <c r="AZ17" s="57" t="str">
        <f aca="false">IF(AND(AZ$7=$I17,ISNUMBER($I17)),"◆","")</f>
        <v/>
      </c>
      <c r="BA17" s="57" t="str">
        <f aca="false">IF(AND(BA$7=$I17,ISNUMBER($I17)),"◆","")</f>
        <v/>
      </c>
      <c r="BB17" s="57" t="str">
        <f aca="false">IF(AND(BB$7=$I17,ISNUMBER($I17)),"◆","")</f>
        <v/>
      </c>
      <c r="BC17" s="57" t="str">
        <f aca="false">IF(AND(BC$7=$I17,ISNUMBER($I17)),"◆","")</f>
        <v/>
      </c>
      <c r="BD17" s="57" t="str">
        <f aca="false">IF(AND(BD$7=$I17,ISNUMBER($I17)),"◆","")</f>
        <v/>
      </c>
      <c r="BE17" s="57" t="str">
        <f aca="false">IF(AND(BE$7=$I17,ISNUMBER($I17)),"◆","")</f>
        <v/>
      </c>
      <c r="BF17" s="57" t="str">
        <f aca="false">IF(AND(BF$7=$I17,ISNUMBER($I17)),"◆","")</f>
        <v/>
      </c>
      <c r="BG17" s="57" t="str">
        <f aca="false">IF(AND(BG$7=$I17,ISNUMBER($I17)),"◆","")</f>
        <v/>
      </c>
      <c r="BH17" s="57" t="str">
        <f aca="false">IF(AND(BH$7=$I17,ISNUMBER($I17)),"◆","")</f>
        <v/>
      </c>
      <c r="BI17" s="57" t="str">
        <f aca="false">IF(AND(BI$7=$I17,ISNUMBER($I17)),"◆","")</f>
        <v/>
      </c>
      <c r="BJ17" s="57" t="str">
        <f aca="false">IF(AND(BJ$7=$I17,ISNUMBER($I17)),"◆","")</f>
        <v/>
      </c>
      <c r="BK17" s="57" t="str">
        <f aca="false">IF(AND(BK$7=$I17,ISNUMBER($I17)),"◆","")</f>
        <v/>
      </c>
      <c r="BL17" s="57" t="str">
        <f aca="false">IF(AND(BL$7=$I17,ISNUMBER($I17)),"◆","")</f>
        <v/>
      </c>
      <c r="BM17" s="57" t="str">
        <f aca="false">IF(AND(BM$7=$I17,ISNUMBER($I17)),"◆","")</f>
        <v/>
      </c>
      <c r="BN17" s="57" t="str">
        <f aca="false">IF(AND(BN$7=$I17,ISNUMBER($I17)),"◆","")</f>
        <v/>
      </c>
      <c r="BO17" s="57" t="str">
        <f aca="false">IF(AND(BO$7=$I17,ISNUMBER($I17)),"◆","")</f>
        <v/>
      </c>
      <c r="BP17" s="57" t="str">
        <f aca="false">IF(AND(BP$7=$I17,ISNUMBER($I17)),"◆","")</f>
        <v/>
      </c>
      <c r="BQ17" s="57" t="str">
        <f aca="false">IF(AND(BQ$7=$I17,ISNUMBER($I17)),"◆","")</f>
        <v/>
      </c>
      <c r="BR17" s="57" t="str">
        <f aca="false">IF(AND(BR$7=$I17,ISNUMBER($I17)),"◆","")</f>
        <v/>
      </c>
      <c r="BS17" s="57" t="str">
        <f aca="false">IF(AND(BS$7=$I17,ISNUMBER($I17)),"◆","")</f>
        <v/>
      </c>
      <c r="BT17" s="57" t="str">
        <f aca="false">IF(AND(BT$7=$I17,ISNUMBER($I17)),"◆","")</f>
        <v/>
      </c>
      <c r="BU17" s="57" t="str">
        <f aca="false">IF(AND(BU$7=$I17,ISNUMBER($I17)),"◆","")</f>
        <v/>
      </c>
      <c r="BV17" s="57" t="str">
        <f aca="false">IF(AND(BV$7=$I17,ISNUMBER($I17)),"◆","")</f>
        <v/>
      </c>
      <c r="BW17" s="57" t="str">
        <f aca="false">IF(AND(BW$7=$I17,ISNUMBER($I17)),"◆","")</f>
        <v/>
      </c>
      <c r="BX17" s="57" t="str">
        <f aca="false">IF(AND(BX$7=$I17,ISNUMBER($I17)),"◆","")</f>
        <v/>
      </c>
      <c r="BY17" s="57" t="str">
        <f aca="false">IF(AND(BY$7=$I17,ISNUMBER($I17)),"◆","")</f>
        <v/>
      </c>
      <c r="BZ17" s="57" t="str">
        <f aca="false">IF(AND(BZ$7=$I17,ISNUMBER($I17)),"◆","")</f>
        <v/>
      </c>
      <c r="CA17" s="57" t="str">
        <f aca="false">IF(AND(CA$7=$I17,ISNUMBER($I17)),"◆","")</f>
        <v/>
      </c>
      <c r="CB17" s="57" t="str">
        <f aca="false">IF(AND(CB$7=$I17,ISNUMBER($I17)),"◆","")</f>
        <v/>
      </c>
      <c r="CC17" s="57" t="str">
        <f aca="false">IF(AND(CC$7=$I17,ISNUMBER($I17)),"◆","")</f>
        <v/>
      </c>
      <c r="CD17" s="57" t="str">
        <f aca="false">IF(AND(CD$7=$I17,ISNUMBER($I17)),"◆","")</f>
        <v/>
      </c>
      <c r="CE17" s="57" t="str">
        <f aca="false">IF(AND(CE$7=$I17,ISNUMBER($I17)),"◆","")</f>
        <v/>
      </c>
      <c r="CF17" s="57" t="str">
        <f aca="false">IF(AND(CF$7=$I17,ISNUMBER($I17)),"◆","")</f>
        <v/>
      </c>
      <c r="CG17" s="57" t="str">
        <f aca="false">IF(AND(CG$7=$I17,ISNUMBER($I17)),"◆","")</f>
        <v/>
      </c>
      <c r="CH17" s="57" t="str">
        <f aca="false">IF(AND(CH$7=$I17,ISNUMBER($I17)),"◆","")</f>
        <v/>
      </c>
      <c r="CI17" s="57" t="str">
        <f aca="false">IF(AND(CI$7=$I17,ISNUMBER($I17)),"◆","")</f>
        <v/>
      </c>
      <c r="CJ17" s="57" t="str">
        <f aca="false">IF(AND(CJ$7=$I17,ISNUMBER($I17)),"◆","")</f>
        <v/>
      </c>
      <c r="CK17" s="57" t="str">
        <f aca="false">IF(AND(CK$7=$I17,ISNUMBER($I17)),"◆","")</f>
        <v/>
      </c>
      <c r="CL17" s="57" t="str">
        <f aca="false">IF(AND(CL$7=$I17,ISNUMBER($I17)),"◆","")</f>
        <v/>
      </c>
      <c r="CM17" s="57" t="str">
        <f aca="false">IF(AND(CM$7=$I17,ISNUMBER($I17)),"◆","")</f>
        <v/>
      </c>
      <c r="CN17" s="57" t="str">
        <f aca="false">IF(AND(CN$7=$I17,ISNUMBER($I17)),"◆","")</f>
        <v/>
      </c>
      <c r="CO17" s="57" t="str">
        <f aca="false">IF(AND(CO$7=$I17,ISNUMBER($I17)),"◆","")</f>
        <v/>
      </c>
      <c r="CP17" s="57" t="str">
        <f aca="false">IF(AND(CP$7=$I17,ISNUMBER($I17)),"◆","")</f>
        <v/>
      </c>
      <c r="CQ17" s="57" t="str">
        <f aca="false">IF(AND(CQ$7=$I17,ISNUMBER($I17)),"◆","")</f>
        <v/>
      </c>
      <c r="CR17" s="57" t="str">
        <f aca="false">IF(AND(CR$7=$I17,ISNUMBER($I17)),"◆","")</f>
        <v/>
      </c>
      <c r="CS17" s="57" t="str">
        <f aca="false">IF(AND(CS$7=$I17,ISNUMBER($I17)),"◆","")</f>
        <v/>
      </c>
      <c r="CT17" s="57" t="str">
        <f aca="false">IF(AND(CT$7=$I17,ISNUMBER($I17)),"◆","")</f>
        <v/>
      </c>
      <c r="CU17" s="57" t="str">
        <f aca="false">IF(AND(CU$7=$I17,ISNUMBER($I17)),"◆","")</f>
        <v/>
      </c>
      <c r="CV17" s="57" t="str">
        <f aca="false">IF(AND(CV$7=$I17,ISNUMBER($I17)),"◆","")</f>
        <v/>
      </c>
      <c r="CW17" s="57" t="str">
        <f aca="false">IF(AND(CW$7=$I17,ISNUMBER($I17)),"◆","")</f>
        <v/>
      </c>
      <c r="CX17" s="57" t="str">
        <f aca="false">IF(AND(CX$7=$I17,ISNUMBER($I17)),"◆","")</f>
        <v/>
      </c>
      <c r="CY17" s="57" t="str">
        <f aca="false">IF(AND(CY$7=$I17,ISNUMBER($I17)),"◆","")</f>
        <v/>
      </c>
      <c r="CZ17" s="57" t="str">
        <f aca="false">IF(AND(CZ$7=$I17,ISNUMBER($I17)),"◆","")</f>
        <v/>
      </c>
      <c r="DA17" s="57" t="str">
        <f aca="false">IF(AND(DA$7=$I17,ISNUMBER($I17)),"◆","")</f>
        <v/>
      </c>
      <c r="DB17" s="57" t="str">
        <f aca="false">IF(AND(DB$7=$I17,ISNUMBER($I17)),"◆","")</f>
        <v/>
      </c>
      <c r="DC17" s="57" t="str">
        <f aca="false">IF(AND(DC$7=$I17,ISNUMBER($I17)),"◆","")</f>
        <v/>
      </c>
      <c r="DD17" s="57" t="str">
        <f aca="false">IF(AND(DD$7=$I17,ISNUMBER($I17)),"◆","")</f>
        <v/>
      </c>
      <c r="DE17" s="57" t="str">
        <f aca="false">IF(AND(DE$7=$I17,ISNUMBER($I17)),"◆","")</f>
        <v/>
      </c>
      <c r="DF17" s="57" t="str">
        <f aca="false">IF(AND(DF$7=$I17,ISNUMBER($I17)),"◆","")</f>
        <v/>
      </c>
      <c r="DG17" s="57" t="str">
        <f aca="false">IF(AND(DG$7=$I17,ISNUMBER($I17)),"◆","")</f>
        <v/>
      </c>
      <c r="DH17" s="57" t="str">
        <f aca="false">IF(AND(DH$7=$I17,ISNUMBER($I17)),"◆","")</f>
        <v/>
      </c>
      <c r="DI17" s="57" t="str">
        <f aca="false">IF(AND(DI$7=$I17,ISNUMBER($I17)),"◆","")</f>
        <v/>
      </c>
      <c r="DJ17" s="57" t="str">
        <f aca="false">IF(AND(DJ$7=$I17,ISNUMBER($I17)),"◆","")</f>
        <v/>
      </c>
      <c r="DK17" s="57" t="str">
        <f aca="false">IF(AND(DK$7=$I17,ISNUMBER($I17)),"◆","")</f>
        <v/>
      </c>
      <c r="DL17" s="57" t="str">
        <f aca="false">IF(AND(DL$7=$I17,ISNUMBER($I17)),"◆","")</f>
        <v/>
      </c>
      <c r="DM17" s="57" t="str">
        <f aca="false">IF(AND(DM$7=$I17,ISNUMBER($I17)),"◆","")</f>
        <v/>
      </c>
      <c r="DN17" s="57" t="str">
        <f aca="false">IF(AND(DN$7=$I17,ISNUMBER($I17)),"◆","")</f>
        <v/>
      </c>
      <c r="DO17" s="57" t="str">
        <f aca="false">IF(AND(DO$7=$I17,ISNUMBER($I17)),"◆","")</f>
        <v/>
      </c>
      <c r="DP17" s="57" t="str">
        <f aca="false">IF(AND(DP$7=$I17,ISNUMBER($I17)),"◆","")</f>
        <v/>
      </c>
      <c r="DQ17" s="57" t="str">
        <f aca="false">IF(AND(DQ$7=$I17,ISNUMBER($I17)),"◆","")</f>
        <v/>
      </c>
      <c r="DR17" s="57" t="str">
        <f aca="false">IF(AND(DR$7=$I17,ISNUMBER($I17)),"◆","")</f>
        <v/>
      </c>
      <c r="DS17" s="57" t="str">
        <f aca="false">IF(AND(DS$7=$I17,ISNUMBER($I17)),"◆","")</f>
        <v/>
      </c>
      <c r="DT17" s="57" t="str">
        <f aca="false">IF(AND(DT$7=$I17,ISNUMBER($I17)),"◆","")</f>
        <v/>
      </c>
      <c r="DU17" s="57" t="str">
        <f aca="false">IF(AND(DU$7=$I17,ISNUMBER($I17)),"◆","")</f>
        <v/>
      </c>
      <c r="DV17" s="57" t="str">
        <f aca="false">IF(AND(DV$7=$I17,ISNUMBER($I17)),"◆","")</f>
        <v/>
      </c>
      <c r="DW17" s="57" t="str">
        <f aca="false">IF(AND(DW$7=$I17,ISNUMBER($I17)),"◆","")</f>
        <v/>
      </c>
      <c r="DX17" s="57" t="str">
        <f aca="false">IF(AND(DX$7=$I17,ISNUMBER($I17)),"◆","")</f>
        <v/>
      </c>
      <c r="DY17" s="57" t="str">
        <f aca="false">IF(AND(DY$7=$I17,ISNUMBER($I17)),"◆","")</f>
        <v/>
      </c>
      <c r="DZ17" s="57" t="str">
        <f aca="false">IF(AND(DZ$7=$I17,ISNUMBER($I17)),"◆","")</f>
        <v/>
      </c>
      <c r="EA17" s="57" t="str">
        <f aca="false">IF(AND(EA$7=$I17,ISNUMBER($I17)),"◆","")</f>
        <v/>
      </c>
      <c r="EB17" s="57" t="str">
        <f aca="false">IF(AND(EB$7=$I17,ISNUMBER($I17)),"◆","")</f>
        <v/>
      </c>
      <c r="EC17" s="57" t="str">
        <f aca="false">IF(AND(EC$7=$I17,ISNUMBER($I17)),"◆","")</f>
        <v/>
      </c>
      <c r="ED17" s="57" t="str">
        <f aca="false">IF(AND(ED$7=$I17,ISNUMBER($I17)),"◆","")</f>
        <v/>
      </c>
      <c r="EE17" s="57" t="str">
        <f aca="false">IF(AND(EE$7=$I17,ISNUMBER($I17)),"◆","")</f>
        <v/>
      </c>
      <c r="EF17" s="57" t="str">
        <f aca="false">IF(AND(EF$7=$I17,ISNUMBER($I17)),"◆","")</f>
        <v/>
      </c>
      <c r="EG17" s="57" t="str">
        <f aca="false">IF(AND(EG$7=$I17,ISNUMBER($I17)),"◆","")</f>
        <v/>
      </c>
      <c r="EH17" s="57" t="str">
        <f aca="false">IF(AND(EH$7=$I17,ISNUMBER($I17)),"◆","")</f>
        <v/>
      </c>
      <c r="EI17" s="57" t="str">
        <f aca="false">IF(AND(EI$7=$I17,ISNUMBER($I17)),"◆","")</f>
        <v/>
      </c>
      <c r="EJ17" s="57" t="str">
        <f aca="false">IF(AND(EJ$7=$I17,ISNUMBER($I17)),"◆","")</f>
        <v/>
      </c>
      <c r="EK17" s="57" t="str">
        <f aca="false">IF(AND(EK$7=$I17,ISNUMBER($I17)),"◆","")</f>
        <v/>
      </c>
      <c r="EL17" s="57" t="str">
        <f aca="false">IF(AND(EL$7=$I17,ISNUMBER($I17)),"◆","")</f>
        <v/>
      </c>
      <c r="EM17" s="57" t="str">
        <f aca="false">IF(AND(EM$7=$I17,ISNUMBER($I17)),"◆","")</f>
        <v/>
      </c>
    </row>
    <row r="18" customFormat="false" ht="25.5" hidden="false" customHeight="true" outlineLevel="0" collapsed="false">
      <c r="A18" s="50" t="str">
        <f aca="false">制作工程表!A15</f>
        <v>T07</v>
      </c>
      <c r="B18" s="51" t="str">
        <f aca="false">制作工程表!B15</f>
        <v>取材準備</v>
      </c>
      <c r="C18" s="52" t="str">
        <f aca="false">制作工程表!C15</f>
        <v>撮影場所・出演者・掲載可否の調整</v>
      </c>
      <c r="D18" s="53" t="str">
        <f aca="false">制作工程表!D15</f>
        <v>総務窓口</v>
      </c>
      <c r="E18" s="53" t="str">
        <f aca="false">制作工程表!E15</f>
        <v>工場長・営業・生産管理</v>
      </c>
      <c r="F18" s="54" t="str">
        <f aca="false">IF(制作工程表!B15="取材撮影","撮影",IF(OR(制作工程表!D15="総務窓口",制作工程表!D15="工場長",制作工程表!D15="代表",制作工程表!D15="営業・生産管理"),"企業","制作"))</f>
        <v>企業</v>
      </c>
      <c r="G18" s="55" t="n">
        <f aca="false">制作工程表!G15</f>
        <v>46350</v>
      </c>
      <c r="H18" s="55" t="n">
        <f aca="false">制作工程表!H15</f>
        <v>46363</v>
      </c>
      <c r="I18" s="56" t="n">
        <f aca="false">制作工程表!I15</f>
        <v>46363</v>
      </c>
      <c r="J18" s="51" t="str">
        <f aca="false">制作工程表!K15</f>
        <v>未着手</v>
      </c>
      <c r="K18" s="57" t="str">
        <f aca="false">IF(AND(K$7=$I18,ISNUMBER($I18)),"◆","")</f>
        <v/>
      </c>
      <c r="L18" s="57" t="str">
        <f aca="false">IF(AND(L$7=$I18,ISNUMBER($I18)),"◆","")</f>
        <v/>
      </c>
      <c r="M18" s="57" t="str">
        <f aca="false">IF(AND(M$7=$I18,ISNUMBER($I18)),"◆","")</f>
        <v/>
      </c>
      <c r="N18" s="57" t="str">
        <f aca="false">IF(AND(N$7=$I18,ISNUMBER($I18)),"◆","")</f>
        <v/>
      </c>
      <c r="O18" s="57" t="str">
        <f aca="false">IF(AND(O$7=$I18,ISNUMBER($I18)),"◆","")</f>
        <v/>
      </c>
      <c r="P18" s="57" t="str">
        <f aca="false">IF(AND(P$7=$I18,ISNUMBER($I18)),"◆","")</f>
        <v/>
      </c>
      <c r="Q18" s="57" t="str">
        <f aca="false">IF(AND(Q$7=$I18,ISNUMBER($I18)),"◆","")</f>
        <v/>
      </c>
      <c r="R18" s="57" t="str">
        <f aca="false">IF(AND(R$7=$I18,ISNUMBER($I18)),"◆","")</f>
        <v/>
      </c>
      <c r="S18" s="57" t="str">
        <f aca="false">IF(AND(S$7=$I18,ISNUMBER($I18)),"◆","")</f>
        <v/>
      </c>
      <c r="T18" s="57" t="str">
        <f aca="false">IF(AND(T$7=$I18,ISNUMBER($I18)),"◆","")</f>
        <v/>
      </c>
      <c r="U18" s="57" t="str">
        <f aca="false">IF(AND(U$7=$I18,ISNUMBER($I18)),"◆","")</f>
        <v/>
      </c>
      <c r="V18" s="57" t="str">
        <f aca="false">IF(AND(V$7=$I18,ISNUMBER($I18)),"◆","")</f>
        <v/>
      </c>
      <c r="W18" s="57" t="str">
        <f aca="false">IF(AND(W$7=$I18,ISNUMBER($I18)),"◆","")</f>
        <v/>
      </c>
      <c r="X18" s="57" t="str">
        <f aca="false">IF(AND(X$7=$I18,ISNUMBER($I18)),"◆","")</f>
        <v/>
      </c>
      <c r="Y18" s="57" t="str">
        <f aca="false">IF(AND(Y$7=$I18,ISNUMBER($I18)),"◆","")</f>
        <v/>
      </c>
      <c r="Z18" s="57" t="str">
        <f aca="false">IF(AND(Z$7=$I18,ISNUMBER($I18)),"◆","")</f>
        <v/>
      </c>
      <c r="AA18" s="57" t="str">
        <f aca="false">IF(AND(AA$7=$I18,ISNUMBER($I18)),"◆","")</f>
        <v/>
      </c>
      <c r="AB18" s="57" t="str">
        <f aca="false">IF(AND(AB$7=$I18,ISNUMBER($I18)),"◆","")</f>
        <v/>
      </c>
      <c r="AC18" s="57" t="str">
        <f aca="false">IF(AND(AC$7=$I18,ISNUMBER($I18)),"◆","")</f>
        <v/>
      </c>
      <c r="AD18" s="57" t="str">
        <f aca="false">IF(AND(AD$7=$I18,ISNUMBER($I18)),"◆","")</f>
        <v/>
      </c>
      <c r="AE18" s="57" t="str">
        <f aca="false">IF(AND(AE$7=$I18,ISNUMBER($I18)),"◆","")</f>
        <v/>
      </c>
      <c r="AF18" s="57" t="str">
        <f aca="false">IF(AND(AF$7=$I18,ISNUMBER($I18)),"◆","")</f>
        <v/>
      </c>
      <c r="AG18" s="57" t="str">
        <f aca="false">IF(AND(AG$7=$I18,ISNUMBER($I18)),"◆","")</f>
        <v/>
      </c>
      <c r="AH18" s="57" t="str">
        <f aca="false">IF(AND(AH$7=$I18,ISNUMBER($I18)),"◆","")</f>
        <v/>
      </c>
      <c r="AI18" s="57" t="str">
        <f aca="false">IF(AND(AI$7=$I18,ISNUMBER($I18)),"◆","")</f>
        <v/>
      </c>
      <c r="AJ18" s="57" t="str">
        <f aca="false">IF(AND(AJ$7=$I18,ISNUMBER($I18)),"◆","")</f>
        <v/>
      </c>
      <c r="AK18" s="57" t="str">
        <f aca="false">IF(AND(AK$7=$I18,ISNUMBER($I18)),"◆","")</f>
        <v/>
      </c>
      <c r="AL18" s="57" t="str">
        <f aca="false">IF(AND(AL$7=$I18,ISNUMBER($I18)),"◆","")</f>
        <v/>
      </c>
      <c r="AM18" s="57" t="str">
        <f aca="false">IF(AND(AM$7=$I18,ISNUMBER($I18)),"◆","")</f>
        <v/>
      </c>
      <c r="AN18" s="57" t="str">
        <f aca="false">IF(AND(AN$7=$I18,ISNUMBER($I18)),"◆","")</f>
        <v/>
      </c>
      <c r="AO18" s="57" t="str">
        <f aca="false">IF(AND(AO$7=$I18,ISNUMBER($I18)),"◆","")</f>
        <v/>
      </c>
      <c r="AP18" s="57" t="str">
        <f aca="false">IF(AND(AP$7=$I18,ISNUMBER($I18)),"◆","")</f>
        <v/>
      </c>
      <c r="AQ18" s="57" t="str">
        <f aca="false">IF(AND(AQ$7=$I18,ISNUMBER($I18)),"◆","")</f>
        <v/>
      </c>
      <c r="AR18" s="57" t="str">
        <f aca="false">IF(AND(AR$7=$I18,ISNUMBER($I18)),"◆","")</f>
        <v/>
      </c>
      <c r="AS18" s="57" t="str">
        <f aca="false">IF(AND(AS$7=$I18,ISNUMBER($I18)),"◆","")</f>
        <v/>
      </c>
      <c r="AT18" s="57" t="str">
        <f aca="false">IF(AND(AT$7=$I18,ISNUMBER($I18)),"◆","")</f>
        <v>◆</v>
      </c>
      <c r="AU18" s="57" t="str">
        <f aca="false">IF(AND(AU$7=$I18,ISNUMBER($I18)),"◆","")</f>
        <v/>
      </c>
      <c r="AV18" s="57" t="str">
        <f aca="false">IF(AND(AV$7=$I18,ISNUMBER($I18)),"◆","")</f>
        <v/>
      </c>
      <c r="AW18" s="57" t="str">
        <f aca="false">IF(AND(AW$7=$I18,ISNUMBER($I18)),"◆","")</f>
        <v/>
      </c>
      <c r="AX18" s="57" t="str">
        <f aca="false">IF(AND(AX$7=$I18,ISNUMBER($I18)),"◆","")</f>
        <v/>
      </c>
      <c r="AY18" s="57" t="str">
        <f aca="false">IF(AND(AY$7=$I18,ISNUMBER($I18)),"◆","")</f>
        <v/>
      </c>
      <c r="AZ18" s="57" t="str">
        <f aca="false">IF(AND(AZ$7=$I18,ISNUMBER($I18)),"◆","")</f>
        <v/>
      </c>
      <c r="BA18" s="57" t="str">
        <f aca="false">IF(AND(BA$7=$I18,ISNUMBER($I18)),"◆","")</f>
        <v/>
      </c>
      <c r="BB18" s="57" t="str">
        <f aca="false">IF(AND(BB$7=$I18,ISNUMBER($I18)),"◆","")</f>
        <v/>
      </c>
      <c r="BC18" s="57" t="str">
        <f aca="false">IF(AND(BC$7=$I18,ISNUMBER($I18)),"◆","")</f>
        <v/>
      </c>
      <c r="BD18" s="57" t="str">
        <f aca="false">IF(AND(BD$7=$I18,ISNUMBER($I18)),"◆","")</f>
        <v/>
      </c>
      <c r="BE18" s="57" t="str">
        <f aca="false">IF(AND(BE$7=$I18,ISNUMBER($I18)),"◆","")</f>
        <v/>
      </c>
      <c r="BF18" s="57" t="str">
        <f aca="false">IF(AND(BF$7=$I18,ISNUMBER($I18)),"◆","")</f>
        <v/>
      </c>
      <c r="BG18" s="57" t="str">
        <f aca="false">IF(AND(BG$7=$I18,ISNUMBER($I18)),"◆","")</f>
        <v/>
      </c>
      <c r="BH18" s="57" t="str">
        <f aca="false">IF(AND(BH$7=$I18,ISNUMBER($I18)),"◆","")</f>
        <v/>
      </c>
      <c r="BI18" s="57" t="str">
        <f aca="false">IF(AND(BI$7=$I18,ISNUMBER($I18)),"◆","")</f>
        <v/>
      </c>
      <c r="BJ18" s="57" t="str">
        <f aca="false">IF(AND(BJ$7=$I18,ISNUMBER($I18)),"◆","")</f>
        <v/>
      </c>
      <c r="BK18" s="57" t="str">
        <f aca="false">IF(AND(BK$7=$I18,ISNUMBER($I18)),"◆","")</f>
        <v/>
      </c>
      <c r="BL18" s="57" t="str">
        <f aca="false">IF(AND(BL$7=$I18,ISNUMBER($I18)),"◆","")</f>
        <v/>
      </c>
      <c r="BM18" s="57" t="str">
        <f aca="false">IF(AND(BM$7=$I18,ISNUMBER($I18)),"◆","")</f>
        <v/>
      </c>
      <c r="BN18" s="57" t="str">
        <f aca="false">IF(AND(BN$7=$I18,ISNUMBER($I18)),"◆","")</f>
        <v/>
      </c>
      <c r="BO18" s="57" t="str">
        <f aca="false">IF(AND(BO$7=$I18,ISNUMBER($I18)),"◆","")</f>
        <v/>
      </c>
      <c r="BP18" s="57" t="str">
        <f aca="false">IF(AND(BP$7=$I18,ISNUMBER($I18)),"◆","")</f>
        <v/>
      </c>
      <c r="BQ18" s="57" t="str">
        <f aca="false">IF(AND(BQ$7=$I18,ISNUMBER($I18)),"◆","")</f>
        <v/>
      </c>
      <c r="BR18" s="57" t="str">
        <f aca="false">IF(AND(BR$7=$I18,ISNUMBER($I18)),"◆","")</f>
        <v/>
      </c>
      <c r="BS18" s="57" t="str">
        <f aca="false">IF(AND(BS$7=$I18,ISNUMBER($I18)),"◆","")</f>
        <v/>
      </c>
      <c r="BT18" s="57" t="str">
        <f aca="false">IF(AND(BT$7=$I18,ISNUMBER($I18)),"◆","")</f>
        <v/>
      </c>
      <c r="BU18" s="57" t="str">
        <f aca="false">IF(AND(BU$7=$I18,ISNUMBER($I18)),"◆","")</f>
        <v/>
      </c>
      <c r="BV18" s="57" t="str">
        <f aca="false">IF(AND(BV$7=$I18,ISNUMBER($I18)),"◆","")</f>
        <v/>
      </c>
      <c r="BW18" s="57" t="str">
        <f aca="false">IF(AND(BW$7=$I18,ISNUMBER($I18)),"◆","")</f>
        <v/>
      </c>
      <c r="BX18" s="57" t="str">
        <f aca="false">IF(AND(BX$7=$I18,ISNUMBER($I18)),"◆","")</f>
        <v/>
      </c>
      <c r="BY18" s="57" t="str">
        <f aca="false">IF(AND(BY$7=$I18,ISNUMBER($I18)),"◆","")</f>
        <v/>
      </c>
      <c r="BZ18" s="57" t="str">
        <f aca="false">IF(AND(BZ$7=$I18,ISNUMBER($I18)),"◆","")</f>
        <v/>
      </c>
      <c r="CA18" s="57" t="str">
        <f aca="false">IF(AND(CA$7=$I18,ISNUMBER($I18)),"◆","")</f>
        <v/>
      </c>
      <c r="CB18" s="57" t="str">
        <f aca="false">IF(AND(CB$7=$I18,ISNUMBER($I18)),"◆","")</f>
        <v/>
      </c>
      <c r="CC18" s="57" t="str">
        <f aca="false">IF(AND(CC$7=$I18,ISNUMBER($I18)),"◆","")</f>
        <v/>
      </c>
      <c r="CD18" s="57" t="str">
        <f aca="false">IF(AND(CD$7=$I18,ISNUMBER($I18)),"◆","")</f>
        <v/>
      </c>
      <c r="CE18" s="57" t="str">
        <f aca="false">IF(AND(CE$7=$I18,ISNUMBER($I18)),"◆","")</f>
        <v/>
      </c>
      <c r="CF18" s="57" t="str">
        <f aca="false">IF(AND(CF$7=$I18,ISNUMBER($I18)),"◆","")</f>
        <v/>
      </c>
      <c r="CG18" s="57" t="str">
        <f aca="false">IF(AND(CG$7=$I18,ISNUMBER($I18)),"◆","")</f>
        <v/>
      </c>
      <c r="CH18" s="57" t="str">
        <f aca="false">IF(AND(CH$7=$I18,ISNUMBER($I18)),"◆","")</f>
        <v/>
      </c>
      <c r="CI18" s="57" t="str">
        <f aca="false">IF(AND(CI$7=$I18,ISNUMBER($I18)),"◆","")</f>
        <v/>
      </c>
      <c r="CJ18" s="57" t="str">
        <f aca="false">IF(AND(CJ$7=$I18,ISNUMBER($I18)),"◆","")</f>
        <v/>
      </c>
      <c r="CK18" s="57" t="str">
        <f aca="false">IF(AND(CK$7=$I18,ISNUMBER($I18)),"◆","")</f>
        <v/>
      </c>
      <c r="CL18" s="57" t="str">
        <f aca="false">IF(AND(CL$7=$I18,ISNUMBER($I18)),"◆","")</f>
        <v/>
      </c>
      <c r="CM18" s="57" t="str">
        <f aca="false">IF(AND(CM$7=$I18,ISNUMBER($I18)),"◆","")</f>
        <v/>
      </c>
      <c r="CN18" s="57" t="str">
        <f aca="false">IF(AND(CN$7=$I18,ISNUMBER($I18)),"◆","")</f>
        <v/>
      </c>
      <c r="CO18" s="57" t="str">
        <f aca="false">IF(AND(CO$7=$I18,ISNUMBER($I18)),"◆","")</f>
        <v/>
      </c>
      <c r="CP18" s="57" t="str">
        <f aca="false">IF(AND(CP$7=$I18,ISNUMBER($I18)),"◆","")</f>
        <v/>
      </c>
      <c r="CQ18" s="57" t="str">
        <f aca="false">IF(AND(CQ$7=$I18,ISNUMBER($I18)),"◆","")</f>
        <v/>
      </c>
      <c r="CR18" s="57" t="str">
        <f aca="false">IF(AND(CR$7=$I18,ISNUMBER($I18)),"◆","")</f>
        <v/>
      </c>
      <c r="CS18" s="57" t="str">
        <f aca="false">IF(AND(CS$7=$I18,ISNUMBER($I18)),"◆","")</f>
        <v/>
      </c>
      <c r="CT18" s="57" t="str">
        <f aca="false">IF(AND(CT$7=$I18,ISNUMBER($I18)),"◆","")</f>
        <v/>
      </c>
      <c r="CU18" s="57" t="str">
        <f aca="false">IF(AND(CU$7=$I18,ISNUMBER($I18)),"◆","")</f>
        <v/>
      </c>
      <c r="CV18" s="57" t="str">
        <f aca="false">IF(AND(CV$7=$I18,ISNUMBER($I18)),"◆","")</f>
        <v/>
      </c>
      <c r="CW18" s="57" t="str">
        <f aca="false">IF(AND(CW$7=$I18,ISNUMBER($I18)),"◆","")</f>
        <v/>
      </c>
      <c r="CX18" s="57" t="str">
        <f aca="false">IF(AND(CX$7=$I18,ISNUMBER($I18)),"◆","")</f>
        <v/>
      </c>
      <c r="CY18" s="57" t="str">
        <f aca="false">IF(AND(CY$7=$I18,ISNUMBER($I18)),"◆","")</f>
        <v/>
      </c>
      <c r="CZ18" s="57" t="str">
        <f aca="false">IF(AND(CZ$7=$I18,ISNUMBER($I18)),"◆","")</f>
        <v/>
      </c>
      <c r="DA18" s="57" t="str">
        <f aca="false">IF(AND(DA$7=$I18,ISNUMBER($I18)),"◆","")</f>
        <v/>
      </c>
      <c r="DB18" s="57" t="str">
        <f aca="false">IF(AND(DB$7=$I18,ISNUMBER($I18)),"◆","")</f>
        <v/>
      </c>
      <c r="DC18" s="57" t="str">
        <f aca="false">IF(AND(DC$7=$I18,ISNUMBER($I18)),"◆","")</f>
        <v/>
      </c>
      <c r="DD18" s="57" t="str">
        <f aca="false">IF(AND(DD$7=$I18,ISNUMBER($I18)),"◆","")</f>
        <v/>
      </c>
      <c r="DE18" s="57" t="str">
        <f aca="false">IF(AND(DE$7=$I18,ISNUMBER($I18)),"◆","")</f>
        <v/>
      </c>
      <c r="DF18" s="57" t="str">
        <f aca="false">IF(AND(DF$7=$I18,ISNUMBER($I18)),"◆","")</f>
        <v/>
      </c>
      <c r="DG18" s="57" t="str">
        <f aca="false">IF(AND(DG$7=$I18,ISNUMBER($I18)),"◆","")</f>
        <v/>
      </c>
      <c r="DH18" s="57" t="str">
        <f aca="false">IF(AND(DH$7=$I18,ISNUMBER($I18)),"◆","")</f>
        <v/>
      </c>
      <c r="DI18" s="57" t="str">
        <f aca="false">IF(AND(DI$7=$I18,ISNUMBER($I18)),"◆","")</f>
        <v/>
      </c>
      <c r="DJ18" s="57" t="str">
        <f aca="false">IF(AND(DJ$7=$I18,ISNUMBER($I18)),"◆","")</f>
        <v/>
      </c>
      <c r="DK18" s="57" t="str">
        <f aca="false">IF(AND(DK$7=$I18,ISNUMBER($I18)),"◆","")</f>
        <v/>
      </c>
      <c r="DL18" s="57" t="str">
        <f aca="false">IF(AND(DL$7=$I18,ISNUMBER($I18)),"◆","")</f>
        <v/>
      </c>
      <c r="DM18" s="57" t="str">
        <f aca="false">IF(AND(DM$7=$I18,ISNUMBER($I18)),"◆","")</f>
        <v/>
      </c>
      <c r="DN18" s="57" t="str">
        <f aca="false">IF(AND(DN$7=$I18,ISNUMBER($I18)),"◆","")</f>
        <v/>
      </c>
      <c r="DO18" s="57" t="str">
        <f aca="false">IF(AND(DO$7=$I18,ISNUMBER($I18)),"◆","")</f>
        <v/>
      </c>
      <c r="DP18" s="57" t="str">
        <f aca="false">IF(AND(DP$7=$I18,ISNUMBER($I18)),"◆","")</f>
        <v/>
      </c>
      <c r="DQ18" s="57" t="str">
        <f aca="false">IF(AND(DQ$7=$I18,ISNUMBER($I18)),"◆","")</f>
        <v/>
      </c>
      <c r="DR18" s="57" t="str">
        <f aca="false">IF(AND(DR$7=$I18,ISNUMBER($I18)),"◆","")</f>
        <v/>
      </c>
      <c r="DS18" s="57" t="str">
        <f aca="false">IF(AND(DS$7=$I18,ISNUMBER($I18)),"◆","")</f>
        <v/>
      </c>
      <c r="DT18" s="57" t="str">
        <f aca="false">IF(AND(DT$7=$I18,ISNUMBER($I18)),"◆","")</f>
        <v/>
      </c>
      <c r="DU18" s="57" t="str">
        <f aca="false">IF(AND(DU$7=$I18,ISNUMBER($I18)),"◆","")</f>
        <v/>
      </c>
      <c r="DV18" s="57" t="str">
        <f aca="false">IF(AND(DV$7=$I18,ISNUMBER($I18)),"◆","")</f>
        <v/>
      </c>
      <c r="DW18" s="57" t="str">
        <f aca="false">IF(AND(DW$7=$I18,ISNUMBER($I18)),"◆","")</f>
        <v/>
      </c>
      <c r="DX18" s="57" t="str">
        <f aca="false">IF(AND(DX$7=$I18,ISNUMBER($I18)),"◆","")</f>
        <v/>
      </c>
      <c r="DY18" s="57" t="str">
        <f aca="false">IF(AND(DY$7=$I18,ISNUMBER($I18)),"◆","")</f>
        <v/>
      </c>
      <c r="DZ18" s="57" t="str">
        <f aca="false">IF(AND(DZ$7=$I18,ISNUMBER($I18)),"◆","")</f>
        <v/>
      </c>
      <c r="EA18" s="57" t="str">
        <f aca="false">IF(AND(EA$7=$I18,ISNUMBER($I18)),"◆","")</f>
        <v/>
      </c>
      <c r="EB18" s="57" t="str">
        <f aca="false">IF(AND(EB$7=$I18,ISNUMBER($I18)),"◆","")</f>
        <v/>
      </c>
      <c r="EC18" s="57" t="str">
        <f aca="false">IF(AND(EC$7=$I18,ISNUMBER($I18)),"◆","")</f>
        <v/>
      </c>
      <c r="ED18" s="57" t="str">
        <f aca="false">IF(AND(ED$7=$I18,ISNUMBER($I18)),"◆","")</f>
        <v/>
      </c>
      <c r="EE18" s="57" t="str">
        <f aca="false">IF(AND(EE$7=$I18,ISNUMBER($I18)),"◆","")</f>
        <v/>
      </c>
      <c r="EF18" s="57" t="str">
        <f aca="false">IF(AND(EF$7=$I18,ISNUMBER($I18)),"◆","")</f>
        <v/>
      </c>
      <c r="EG18" s="57" t="str">
        <f aca="false">IF(AND(EG$7=$I18,ISNUMBER($I18)),"◆","")</f>
        <v/>
      </c>
      <c r="EH18" s="57" t="str">
        <f aca="false">IF(AND(EH$7=$I18,ISNUMBER($I18)),"◆","")</f>
        <v/>
      </c>
      <c r="EI18" s="57" t="str">
        <f aca="false">IF(AND(EI$7=$I18,ISNUMBER($I18)),"◆","")</f>
        <v/>
      </c>
      <c r="EJ18" s="57" t="str">
        <f aca="false">IF(AND(EJ$7=$I18,ISNUMBER($I18)),"◆","")</f>
        <v/>
      </c>
      <c r="EK18" s="57" t="str">
        <f aca="false">IF(AND(EK$7=$I18,ISNUMBER($I18)),"◆","")</f>
        <v/>
      </c>
      <c r="EL18" s="57" t="str">
        <f aca="false">IF(AND(EL$7=$I18,ISNUMBER($I18)),"◆","")</f>
        <v/>
      </c>
      <c r="EM18" s="57" t="str">
        <f aca="false">IF(AND(EM$7=$I18,ISNUMBER($I18)),"◆","")</f>
        <v/>
      </c>
    </row>
    <row r="19" customFormat="false" ht="25.5" hidden="false" customHeight="true" outlineLevel="0" collapsed="false">
      <c r="A19" s="50" t="str">
        <f aca="false">制作工程表!A16</f>
        <v>T08</v>
      </c>
      <c r="B19" s="51" t="str">
        <f aca="false">制作工程表!B16</f>
        <v>取材準備</v>
      </c>
      <c r="C19" s="52" t="str">
        <f aca="false">制作工程表!C16</f>
        <v>香盤・安全ルールのご確認</v>
      </c>
      <c r="D19" s="53" t="str">
        <f aca="false">制作工程表!D16</f>
        <v>総務窓口</v>
      </c>
      <c r="E19" s="53" t="str">
        <f aca="false">制作工程表!E16</f>
        <v>工場長・出演者</v>
      </c>
      <c r="F19" s="54" t="str">
        <f aca="false">IF(制作工程表!B16="取材撮影","撮影",IF(OR(制作工程表!D16="総務窓口",制作工程表!D16="工場長",制作工程表!D16="代表",制作工程表!D16="営業・生産管理"),"企業","制作"))</f>
        <v>企業</v>
      </c>
      <c r="G19" s="55" t="n">
        <f aca="false">制作工程表!G16</f>
        <v>46364</v>
      </c>
      <c r="H19" s="55" t="n">
        <f aca="false">制作工程表!H16</f>
        <v>46372</v>
      </c>
      <c r="I19" s="56" t="n">
        <f aca="false">制作工程表!I16</f>
        <v>46372</v>
      </c>
      <c r="J19" s="51" t="str">
        <f aca="false">制作工程表!K16</f>
        <v>未着手</v>
      </c>
      <c r="K19" s="57" t="str">
        <f aca="false">IF(AND(K$7=$I19,ISNUMBER($I19)),"◆","")</f>
        <v/>
      </c>
      <c r="L19" s="57" t="str">
        <f aca="false">IF(AND(L$7=$I19,ISNUMBER($I19)),"◆","")</f>
        <v/>
      </c>
      <c r="M19" s="57" t="str">
        <f aca="false">IF(AND(M$7=$I19,ISNUMBER($I19)),"◆","")</f>
        <v/>
      </c>
      <c r="N19" s="57" t="str">
        <f aca="false">IF(AND(N$7=$I19,ISNUMBER($I19)),"◆","")</f>
        <v/>
      </c>
      <c r="O19" s="57" t="str">
        <f aca="false">IF(AND(O$7=$I19,ISNUMBER($I19)),"◆","")</f>
        <v/>
      </c>
      <c r="P19" s="57" t="str">
        <f aca="false">IF(AND(P$7=$I19,ISNUMBER($I19)),"◆","")</f>
        <v/>
      </c>
      <c r="Q19" s="57" t="str">
        <f aca="false">IF(AND(Q$7=$I19,ISNUMBER($I19)),"◆","")</f>
        <v/>
      </c>
      <c r="R19" s="57" t="str">
        <f aca="false">IF(AND(R$7=$I19,ISNUMBER($I19)),"◆","")</f>
        <v/>
      </c>
      <c r="S19" s="57" t="str">
        <f aca="false">IF(AND(S$7=$I19,ISNUMBER($I19)),"◆","")</f>
        <v/>
      </c>
      <c r="T19" s="57" t="str">
        <f aca="false">IF(AND(T$7=$I19,ISNUMBER($I19)),"◆","")</f>
        <v/>
      </c>
      <c r="U19" s="57" t="str">
        <f aca="false">IF(AND(U$7=$I19,ISNUMBER($I19)),"◆","")</f>
        <v/>
      </c>
      <c r="V19" s="57" t="str">
        <f aca="false">IF(AND(V$7=$I19,ISNUMBER($I19)),"◆","")</f>
        <v/>
      </c>
      <c r="W19" s="57" t="str">
        <f aca="false">IF(AND(W$7=$I19,ISNUMBER($I19)),"◆","")</f>
        <v/>
      </c>
      <c r="X19" s="57" t="str">
        <f aca="false">IF(AND(X$7=$I19,ISNUMBER($I19)),"◆","")</f>
        <v/>
      </c>
      <c r="Y19" s="57" t="str">
        <f aca="false">IF(AND(Y$7=$I19,ISNUMBER($I19)),"◆","")</f>
        <v/>
      </c>
      <c r="Z19" s="57" t="str">
        <f aca="false">IF(AND(Z$7=$I19,ISNUMBER($I19)),"◆","")</f>
        <v/>
      </c>
      <c r="AA19" s="57" t="str">
        <f aca="false">IF(AND(AA$7=$I19,ISNUMBER($I19)),"◆","")</f>
        <v/>
      </c>
      <c r="AB19" s="57" t="str">
        <f aca="false">IF(AND(AB$7=$I19,ISNUMBER($I19)),"◆","")</f>
        <v/>
      </c>
      <c r="AC19" s="57" t="str">
        <f aca="false">IF(AND(AC$7=$I19,ISNUMBER($I19)),"◆","")</f>
        <v/>
      </c>
      <c r="AD19" s="57" t="str">
        <f aca="false">IF(AND(AD$7=$I19,ISNUMBER($I19)),"◆","")</f>
        <v/>
      </c>
      <c r="AE19" s="57" t="str">
        <f aca="false">IF(AND(AE$7=$I19,ISNUMBER($I19)),"◆","")</f>
        <v/>
      </c>
      <c r="AF19" s="57" t="str">
        <f aca="false">IF(AND(AF$7=$I19,ISNUMBER($I19)),"◆","")</f>
        <v/>
      </c>
      <c r="AG19" s="57" t="str">
        <f aca="false">IF(AND(AG$7=$I19,ISNUMBER($I19)),"◆","")</f>
        <v/>
      </c>
      <c r="AH19" s="57" t="str">
        <f aca="false">IF(AND(AH$7=$I19,ISNUMBER($I19)),"◆","")</f>
        <v/>
      </c>
      <c r="AI19" s="57" t="str">
        <f aca="false">IF(AND(AI$7=$I19,ISNUMBER($I19)),"◆","")</f>
        <v/>
      </c>
      <c r="AJ19" s="57" t="str">
        <f aca="false">IF(AND(AJ$7=$I19,ISNUMBER($I19)),"◆","")</f>
        <v/>
      </c>
      <c r="AK19" s="57" t="str">
        <f aca="false">IF(AND(AK$7=$I19,ISNUMBER($I19)),"◆","")</f>
        <v/>
      </c>
      <c r="AL19" s="57" t="str">
        <f aca="false">IF(AND(AL$7=$I19,ISNUMBER($I19)),"◆","")</f>
        <v/>
      </c>
      <c r="AM19" s="57" t="str">
        <f aca="false">IF(AND(AM$7=$I19,ISNUMBER($I19)),"◆","")</f>
        <v/>
      </c>
      <c r="AN19" s="57" t="str">
        <f aca="false">IF(AND(AN$7=$I19,ISNUMBER($I19)),"◆","")</f>
        <v/>
      </c>
      <c r="AO19" s="57" t="str">
        <f aca="false">IF(AND(AO$7=$I19,ISNUMBER($I19)),"◆","")</f>
        <v/>
      </c>
      <c r="AP19" s="57" t="str">
        <f aca="false">IF(AND(AP$7=$I19,ISNUMBER($I19)),"◆","")</f>
        <v/>
      </c>
      <c r="AQ19" s="57" t="str">
        <f aca="false">IF(AND(AQ$7=$I19,ISNUMBER($I19)),"◆","")</f>
        <v/>
      </c>
      <c r="AR19" s="57" t="str">
        <f aca="false">IF(AND(AR$7=$I19,ISNUMBER($I19)),"◆","")</f>
        <v/>
      </c>
      <c r="AS19" s="57" t="str">
        <f aca="false">IF(AND(AS$7=$I19,ISNUMBER($I19)),"◆","")</f>
        <v/>
      </c>
      <c r="AT19" s="57" t="str">
        <f aca="false">IF(AND(AT$7=$I19,ISNUMBER($I19)),"◆","")</f>
        <v/>
      </c>
      <c r="AU19" s="57" t="str">
        <f aca="false">IF(AND(AU$7=$I19,ISNUMBER($I19)),"◆","")</f>
        <v/>
      </c>
      <c r="AV19" s="57" t="str">
        <f aca="false">IF(AND(AV$7=$I19,ISNUMBER($I19)),"◆","")</f>
        <v/>
      </c>
      <c r="AW19" s="57" t="str">
        <f aca="false">IF(AND(AW$7=$I19,ISNUMBER($I19)),"◆","")</f>
        <v/>
      </c>
      <c r="AX19" s="57" t="str">
        <f aca="false">IF(AND(AX$7=$I19,ISNUMBER($I19)),"◆","")</f>
        <v/>
      </c>
      <c r="AY19" s="57" t="str">
        <f aca="false">IF(AND(AY$7=$I19,ISNUMBER($I19)),"◆","")</f>
        <v/>
      </c>
      <c r="AZ19" s="57" t="str">
        <f aca="false">IF(AND(AZ$7=$I19,ISNUMBER($I19)),"◆","")</f>
        <v/>
      </c>
      <c r="BA19" s="57" t="str">
        <f aca="false">IF(AND(BA$7=$I19,ISNUMBER($I19)),"◆","")</f>
        <v/>
      </c>
      <c r="BB19" s="57" t="str">
        <f aca="false">IF(AND(BB$7=$I19,ISNUMBER($I19)),"◆","")</f>
        <v/>
      </c>
      <c r="BC19" s="57" t="str">
        <f aca="false">IF(AND(BC$7=$I19,ISNUMBER($I19)),"◆","")</f>
        <v>◆</v>
      </c>
      <c r="BD19" s="57" t="str">
        <f aca="false">IF(AND(BD$7=$I19,ISNUMBER($I19)),"◆","")</f>
        <v/>
      </c>
      <c r="BE19" s="57" t="str">
        <f aca="false">IF(AND(BE$7=$I19,ISNUMBER($I19)),"◆","")</f>
        <v/>
      </c>
      <c r="BF19" s="57" t="str">
        <f aca="false">IF(AND(BF$7=$I19,ISNUMBER($I19)),"◆","")</f>
        <v/>
      </c>
      <c r="BG19" s="57" t="str">
        <f aca="false">IF(AND(BG$7=$I19,ISNUMBER($I19)),"◆","")</f>
        <v/>
      </c>
      <c r="BH19" s="57" t="str">
        <f aca="false">IF(AND(BH$7=$I19,ISNUMBER($I19)),"◆","")</f>
        <v/>
      </c>
      <c r="BI19" s="57" t="str">
        <f aca="false">IF(AND(BI$7=$I19,ISNUMBER($I19)),"◆","")</f>
        <v/>
      </c>
      <c r="BJ19" s="57" t="str">
        <f aca="false">IF(AND(BJ$7=$I19,ISNUMBER($I19)),"◆","")</f>
        <v/>
      </c>
      <c r="BK19" s="57" t="str">
        <f aca="false">IF(AND(BK$7=$I19,ISNUMBER($I19)),"◆","")</f>
        <v/>
      </c>
      <c r="BL19" s="57" t="str">
        <f aca="false">IF(AND(BL$7=$I19,ISNUMBER($I19)),"◆","")</f>
        <v/>
      </c>
      <c r="BM19" s="57" t="str">
        <f aca="false">IF(AND(BM$7=$I19,ISNUMBER($I19)),"◆","")</f>
        <v/>
      </c>
      <c r="BN19" s="57" t="str">
        <f aca="false">IF(AND(BN$7=$I19,ISNUMBER($I19)),"◆","")</f>
        <v/>
      </c>
      <c r="BO19" s="57" t="str">
        <f aca="false">IF(AND(BO$7=$I19,ISNUMBER($I19)),"◆","")</f>
        <v/>
      </c>
      <c r="BP19" s="57" t="str">
        <f aca="false">IF(AND(BP$7=$I19,ISNUMBER($I19)),"◆","")</f>
        <v/>
      </c>
      <c r="BQ19" s="57" t="str">
        <f aca="false">IF(AND(BQ$7=$I19,ISNUMBER($I19)),"◆","")</f>
        <v/>
      </c>
      <c r="BR19" s="57" t="str">
        <f aca="false">IF(AND(BR$7=$I19,ISNUMBER($I19)),"◆","")</f>
        <v/>
      </c>
      <c r="BS19" s="57" t="str">
        <f aca="false">IF(AND(BS$7=$I19,ISNUMBER($I19)),"◆","")</f>
        <v/>
      </c>
      <c r="BT19" s="57" t="str">
        <f aca="false">IF(AND(BT$7=$I19,ISNUMBER($I19)),"◆","")</f>
        <v/>
      </c>
      <c r="BU19" s="57" t="str">
        <f aca="false">IF(AND(BU$7=$I19,ISNUMBER($I19)),"◆","")</f>
        <v/>
      </c>
      <c r="BV19" s="57" t="str">
        <f aca="false">IF(AND(BV$7=$I19,ISNUMBER($I19)),"◆","")</f>
        <v/>
      </c>
      <c r="BW19" s="57" t="str">
        <f aca="false">IF(AND(BW$7=$I19,ISNUMBER($I19)),"◆","")</f>
        <v/>
      </c>
      <c r="BX19" s="57" t="str">
        <f aca="false">IF(AND(BX$7=$I19,ISNUMBER($I19)),"◆","")</f>
        <v/>
      </c>
      <c r="BY19" s="57" t="str">
        <f aca="false">IF(AND(BY$7=$I19,ISNUMBER($I19)),"◆","")</f>
        <v/>
      </c>
      <c r="BZ19" s="57" t="str">
        <f aca="false">IF(AND(BZ$7=$I19,ISNUMBER($I19)),"◆","")</f>
        <v/>
      </c>
      <c r="CA19" s="57" t="str">
        <f aca="false">IF(AND(CA$7=$I19,ISNUMBER($I19)),"◆","")</f>
        <v/>
      </c>
      <c r="CB19" s="57" t="str">
        <f aca="false">IF(AND(CB$7=$I19,ISNUMBER($I19)),"◆","")</f>
        <v/>
      </c>
      <c r="CC19" s="57" t="str">
        <f aca="false">IF(AND(CC$7=$I19,ISNUMBER($I19)),"◆","")</f>
        <v/>
      </c>
      <c r="CD19" s="57" t="str">
        <f aca="false">IF(AND(CD$7=$I19,ISNUMBER($I19)),"◆","")</f>
        <v/>
      </c>
      <c r="CE19" s="57" t="str">
        <f aca="false">IF(AND(CE$7=$I19,ISNUMBER($I19)),"◆","")</f>
        <v/>
      </c>
      <c r="CF19" s="57" t="str">
        <f aca="false">IF(AND(CF$7=$I19,ISNUMBER($I19)),"◆","")</f>
        <v/>
      </c>
      <c r="CG19" s="57" t="str">
        <f aca="false">IF(AND(CG$7=$I19,ISNUMBER($I19)),"◆","")</f>
        <v/>
      </c>
      <c r="CH19" s="57" t="str">
        <f aca="false">IF(AND(CH$7=$I19,ISNUMBER($I19)),"◆","")</f>
        <v/>
      </c>
      <c r="CI19" s="57" t="str">
        <f aca="false">IF(AND(CI$7=$I19,ISNUMBER($I19)),"◆","")</f>
        <v/>
      </c>
      <c r="CJ19" s="57" t="str">
        <f aca="false">IF(AND(CJ$7=$I19,ISNUMBER($I19)),"◆","")</f>
        <v/>
      </c>
      <c r="CK19" s="57" t="str">
        <f aca="false">IF(AND(CK$7=$I19,ISNUMBER($I19)),"◆","")</f>
        <v/>
      </c>
      <c r="CL19" s="57" t="str">
        <f aca="false">IF(AND(CL$7=$I19,ISNUMBER($I19)),"◆","")</f>
        <v/>
      </c>
      <c r="CM19" s="57" t="str">
        <f aca="false">IF(AND(CM$7=$I19,ISNUMBER($I19)),"◆","")</f>
        <v/>
      </c>
      <c r="CN19" s="57" t="str">
        <f aca="false">IF(AND(CN$7=$I19,ISNUMBER($I19)),"◆","")</f>
        <v/>
      </c>
      <c r="CO19" s="57" t="str">
        <f aca="false">IF(AND(CO$7=$I19,ISNUMBER($I19)),"◆","")</f>
        <v/>
      </c>
      <c r="CP19" s="57" t="str">
        <f aca="false">IF(AND(CP$7=$I19,ISNUMBER($I19)),"◆","")</f>
        <v/>
      </c>
      <c r="CQ19" s="57" t="str">
        <f aca="false">IF(AND(CQ$7=$I19,ISNUMBER($I19)),"◆","")</f>
        <v/>
      </c>
      <c r="CR19" s="57" t="str">
        <f aca="false">IF(AND(CR$7=$I19,ISNUMBER($I19)),"◆","")</f>
        <v/>
      </c>
      <c r="CS19" s="57" t="str">
        <f aca="false">IF(AND(CS$7=$I19,ISNUMBER($I19)),"◆","")</f>
        <v/>
      </c>
      <c r="CT19" s="57" t="str">
        <f aca="false">IF(AND(CT$7=$I19,ISNUMBER($I19)),"◆","")</f>
        <v/>
      </c>
      <c r="CU19" s="57" t="str">
        <f aca="false">IF(AND(CU$7=$I19,ISNUMBER($I19)),"◆","")</f>
        <v/>
      </c>
      <c r="CV19" s="57" t="str">
        <f aca="false">IF(AND(CV$7=$I19,ISNUMBER($I19)),"◆","")</f>
        <v/>
      </c>
      <c r="CW19" s="57" t="str">
        <f aca="false">IF(AND(CW$7=$I19,ISNUMBER($I19)),"◆","")</f>
        <v/>
      </c>
      <c r="CX19" s="57" t="str">
        <f aca="false">IF(AND(CX$7=$I19,ISNUMBER($I19)),"◆","")</f>
        <v/>
      </c>
      <c r="CY19" s="57" t="str">
        <f aca="false">IF(AND(CY$7=$I19,ISNUMBER($I19)),"◆","")</f>
        <v/>
      </c>
      <c r="CZ19" s="57" t="str">
        <f aca="false">IF(AND(CZ$7=$I19,ISNUMBER($I19)),"◆","")</f>
        <v/>
      </c>
      <c r="DA19" s="57" t="str">
        <f aca="false">IF(AND(DA$7=$I19,ISNUMBER($I19)),"◆","")</f>
        <v/>
      </c>
      <c r="DB19" s="57" t="str">
        <f aca="false">IF(AND(DB$7=$I19,ISNUMBER($I19)),"◆","")</f>
        <v/>
      </c>
      <c r="DC19" s="57" t="str">
        <f aca="false">IF(AND(DC$7=$I19,ISNUMBER($I19)),"◆","")</f>
        <v/>
      </c>
      <c r="DD19" s="57" t="str">
        <f aca="false">IF(AND(DD$7=$I19,ISNUMBER($I19)),"◆","")</f>
        <v/>
      </c>
      <c r="DE19" s="57" t="str">
        <f aca="false">IF(AND(DE$7=$I19,ISNUMBER($I19)),"◆","")</f>
        <v/>
      </c>
      <c r="DF19" s="57" t="str">
        <f aca="false">IF(AND(DF$7=$I19,ISNUMBER($I19)),"◆","")</f>
        <v/>
      </c>
      <c r="DG19" s="57" t="str">
        <f aca="false">IF(AND(DG$7=$I19,ISNUMBER($I19)),"◆","")</f>
        <v/>
      </c>
      <c r="DH19" s="57" t="str">
        <f aca="false">IF(AND(DH$7=$I19,ISNUMBER($I19)),"◆","")</f>
        <v/>
      </c>
      <c r="DI19" s="57" t="str">
        <f aca="false">IF(AND(DI$7=$I19,ISNUMBER($I19)),"◆","")</f>
        <v/>
      </c>
      <c r="DJ19" s="57" t="str">
        <f aca="false">IF(AND(DJ$7=$I19,ISNUMBER($I19)),"◆","")</f>
        <v/>
      </c>
      <c r="DK19" s="57" t="str">
        <f aca="false">IF(AND(DK$7=$I19,ISNUMBER($I19)),"◆","")</f>
        <v/>
      </c>
      <c r="DL19" s="57" t="str">
        <f aca="false">IF(AND(DL$7=$I19,ISNUMBER($I19)),"◆","")</f>
        <v/>
      </c>
      <c r="DM19" s="57" t="str">
        <f aca="false">IF(AND(DM$7=$I19,ISNUMBER($I19)),"◆","")</f>
        <v/>
      </c>
      <c r="DN19" s="57" t="str">
        <f aca="false">IF(AND(DN$7=$I19,ISNUMBER($I19)),"◆","")</f>
        <v/>
      </c>
      <c r="DO19" s="57" t="str">
        <f aca="false">IF(AND(DO$7=$I19,ISNUMBER($I19)),"◆","")</f>
        <v/>
      </c>
      <c r="DP19" s="57" t="str">
        <f aca="false">IF(AND(DP$7=$I19,ISNUMBER($I19)),"◆","")</f>
        <v/>
      </c>
      <c r="DQ19" s="57" t="str">
        <f aca="false">IF(AND(DQ$7=$I19,ISNUMBER($I19)),"◆","")</f>
        <v/>
      </c>
      <c r="DR19" s="57" t="str">
        <f aca="false">IF(AND(DR$7=$I19,ISNUMBER($I19)),"◆","")</f>
        <v/>
      </c>
      <c r="DS19" s="57" t="str">
        <f aca="false">IF(AND(DS$7=$I19,ISNUMBER($I19)),"◆","")</f>
        <v/>
      </c>
      <c r="DT19" s="57" t="str">
        <f aca="false">IF(AND(DT$7=$I19,ISNUMBER($I19)),"◆","")</f>
        <v/>
      </c>
      <c r="DU19" s="57" t="str">
        <f aca="false">IF(AND(DU$7=$I19,ISNUMBER($I19)),"◆","")</f>
        <v/>
      </c>
      <c r="DV19" s="57" t="str">
        <f aca="false">IF(AND(DV$7=$I19,ISNUMBER($I19)),"◆","")</f>
        <v/>
      </c>
      <c r="DW19" s="57" t="str">
        <f aca="false">IF(AND(DW$7=$I19,ISNUMBER($I19)),"◆","")</f>
        <v/>
      </c>
      <c r="DX19" s="57" t="str">
        <f aca="false">IF(AND(DX$7=$I19,ISNUMBER($I19)),"◆","")</f>
        <v/>
      </c>
      <c r="DY19" s="57" t="str">
        <f aca="false">IF(AND(DY$7=$I19,ISNUMBER($I19)),"◆","")</f>
        <v/>
      </c>
      <c r="DZ19" s="57" t="str">
        <f aca="false">IF(AND(DZ$7=$I19,ISNUMBER($I19)),"◆","")</f>
        <v/>
      </c>
      <c r="EA19" s="57" t="str">
        <f aca="false">IF(AND(EA$7=$I19,ISNUMBER($I19)),"◆","")</f>
        <v/>
      </c>
      <c r="EB19" s="57" t="str">
        <f aca="false">IF(AND(EB$7=$I19,ISNUMBER($I19)),"◆","")</f>
        <v/>
      </c>
      <c r="EC19" s="57" t="str">
        <f aca="false">IF(AND(EC$7=$I19,ISNUMBER($I19)),"◆","")</f>
        <v/>
      </c>
      <c r="ED19" s="57" t="str">
        <f aca="false">IF(AND(ED$7=$I19,ISNUMBER($I19)),"◆","")</f>
        <v/>
      </c>
      <c r="EE19" s="57" t="str">
        <f aca="false">IF(AND(EE$7=$I19,ISNUMBER($I19)),"◆","")</f>
        <v/>
      </c>
      <c r="EF19" s="57" t="str">
        <f aca="false">IF(AND(EF$7=$I19,ISNUMBER($I19)),"◆","")</f>
        <v/>
      </c>
      <c r="EG19" s="57" t="str">
        <f aca="false">IF(AND(EG$7=$I19,ISNUMBER($I19)),"◆","")</f>
        <v/>
      </c>
      <c r="EH19" s="57" t="str">
        <f aca="false">IF(AND(EH$7=$I19,ISNUMBER($I19)),"◆","")</f>
        <v/>
      </c>
      <c r="EI19" s="57" t="str">
        <f aca="false">IF(AND(EI$7=$I19,ISNUMBER($I19)),"◆","")</f>
        <v/>
      </c>
      <c r="EJ19" s="57" t="str">
        <f aca="false">IF(AND(EJ$7=$I19,ISNUMBER($I19)),"◆","")</f>
        <v/>
      </c>
      <c r="EK19" s="57" t="str">
        <f aca="false">IF(AND(EK$7=$I19,ISNUMBER($I19)),"◆","")</f>
        <v/>
      </c>
      <c r="EL19" s="57" t="str">
        <f aca="false">IF(AND(EL$7=$I19,ISNUMBER($I19)),"◆","")</f>
        <v/>
      </c>
      <c r="EM19" s="57" t="str">
        <f aca="false">IF(AND(EM$7=$I19,ISNUMBER($I19)),"◆","")</f>
        <v/>
      </c>
    </row>
    <row r="20" customFormat="false" ht="21.75" hidden="false" customHeight="true" outlineLevel="0" collapsed="false">
      <c r="A20" s="45" t="s">
        <v>76</v>
      </c>
      <c r="B20" s="45"/>
      <c r="C20" s="45"/>
      <c r="D20" s="45"/>
      <c r="E20" s="45"/>
      <c r="F20" s="46" t="s">
        <v>74</v>
      </c>
      <c r="G20" s="47" t="n">
        <f aca="false">MIN(制作工程表!G17:G19)</f>
        <v>46377</v>
      </c>
      <c r="H20" s="47" t="n">
        <f aca="false">MAX(制作工程表!H17:H19)</f>
        <v>46393</v>
      </c>
      <c r="I20" s="47" t="str">
        <f aca="false">IF(MAX(制作工程表!I17:I19)=0,"—",MAX(制作工程表!I17:I19))</f>
        <v>—</v>
      </c>
      <c r="J20" s="48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  <c r="DJ20" s="49"/>
      <c r="DK20" s="49"/>
      <c r="DL20" s="49"/>
      <c r="DM20" s="49"/>
      <c r="DN20" s="49"/>
      <c r="DO20" s="49"/>
      <c r="DP20" s="49"/>
      <c r="DQ20" s="49"/>
      <c r="DR20" s="49"/>
      <c r="DS20" s="49"/>
      <c r="DT20" s="49"/>
      <c r="DU20" s="49"/>
      <c r="DV20" s="49"/>
      <c r="DW20" s="49"/>
      <c r="DX20" s="49"/>
      <c r="DY20" s="49"/>
      <c r="DZ20" s="49"/>
      <c r="EA20" s="49"/>
      <c r="EB20" s="49"/>
      <c r="EC20" s="49"/>
      <c r="ED20" s="49"/>
      <c r="EE20" s="49"/>
      <c r="EF20" s="49"/>
      <c r="EG20" s="49"/>
      <c r="EH20" s="49"/>
      <c r="EI20" s="49"/>
      <c r="EJ20" s="49"/>
      <c r="EK20" s="49"/>
      <c r="EL20" s="49"/>
      <c r="EM20" s="49"/>
    </row>
    <row r="21" customFormat="false" ht="25.5" hidden="false" customHeight="true" outlineLevel="0" collapsed="false">
      <c r="A21" s="50" t="str">
        <f aca="false">制作工程表!A17</f>
        <v>T09</v>
      </c>
      <c r="B21" s="51" t="str">
        <f aca="false">制作工程表!B17</f>
        <v>取材撮影</v>
      </c>
      <c r="C21" s="52" t="str">
        <f aca="false">制作工程表!C17</f>
        <v>第2工場の取材・撮影（切断・曲げ）</v>
      </c>
      <c r="D21" s="53" t="str">
        <f aca="false">制作工程表!D17</f>
        <v>ライター・カメラマン</v>
      </c>
      <c r="E21" s="53" t="str">
        <f aca="false">制作工程表!E17</f>
        <v>工場長</v>
      </c>
      <c r="F21" s="54" t="str">
        <f aca="false">IF(制作工程表!B17="取材撮影","撮影",IF(OR(制作工程表!D17="総務窓口",制作工程表!D17="工場長",制作工程表!D17="代表",制作工程表!D17="営業・生産管理"),"企業","制作"))</f>
        <v>撮影</v>
      </c>
      <c r="G21" s="55" t="n">
        <f aca="false">制作工程表!G17</f>
        <v>46377</v>
      </c>
      <c r="H21" s="55" t="n">
        <f aca="false">制作工程表!H17</f>
        <v>46377</v>
      </c>
      <c r="I21" s="56" t="str">
        <f aca="false">制作工程表!I17</f>
        <v>—</v>
      </c>
      <c r="J21" s="51" t="str">
        <f aca="false">制作工程表!K17</f>
        <v>未着手</v>
      </c>
      <c r="K21" s="57" t="str">
        <f aca="false">IF(AND(K$7=$I21,ISNUMBER($I21)),"◆","")</f>
        <v/>
      </c>
      <c r="L21" s="57" t="str">
        <f aca="false">IF(AND(L$7=$I21,ISNUMBER($I21)),"◆","")</f>
        <v/>
      </c>
      <c r="M21" s="57" t="str">
        <f aca="false">IF(AND(M$7=$I21,ISNUMBER($I21)),"◆","")</f>
        <v/>
      </c>
      <c r="N21" s="57" t="str">
        <f aca="false">IF(AND(N$7=$I21,ISNUMBER($I21)),"◆","")</f>
        <v/>
      </c>
      <c r="O21" s="57" t="str">
        <f aca="false">IF(AND(O$7=$I21,ISNUMBER($I21)),"◆","")</f>
        <v/>
      </c>
      <c r="P21" s="57" t="str">
        <f aca="false">IF(AND(P$7=$I21,ISNUMBER($I21)),"◆","")</f>
        <v/>
      </c>
      <c r="Q21" s="57" t="str">
        <f aca="false">IF(AND(Q$7=$I21,ISNUMBER($I21)),"◆","")</f>
        <v/>
      </c>
      <c r="R21" s="57" t="str">
        <f aca="false">IF(AND(R$7=$I21,ISNUMBER($I21)),"◆","")</f>
        <v/>
      </c>
      <c r="S21" s="57" t="str">
        <f aca="false">IF(AND(S$7=$I21,ISNUMBER($I21)),"◆","")</f>
        <v/>
      </c>
      <c r="T21" s="57" t="str">
        <f aca="false">IF(AND(T$7=$I21,ISNUMBER($I21)),"◆","")</f>
        <v/>
      </c>
      <c r="U21" s="57" t="str">
        <f aca="false">IF(AND(U$7=$I21,ISNUMBER($I21)),"◆","")</f>
        <v/>
      </c>
      <c r="V21" s="57" t="str">
        <f aca="false">IF(AND(V$7=$I21,ISNUMBER($I21)),"◆","")</f>
        <v/>
      </c>
      <c r="W21" s="57" t="str">
        <f aca="false">IF(AND(W$7=$I21,ISNUMBER($I21)),"◆","")</f>
        <v/>
      </c>
      <c r="X21" s="57" t="str">
        <f aca="false">IF(AND(X$7=$I21,ISNUMBER($I21)),"◆","")</f>
        <v/>
      </c>
      <c r="Y21" s="57" t="str">
        <f aca="false">IF(AND(Y$7=$I21,ISNUMBER($I21)),"◆","")</f>
        <v/>
      </c>
      <c r="Z21" s="57" t="str">
        <f aca="false">IF(AND(Z$7=$I21,ISNUMBER($I21)),"◆","")</f>
        <v/>
      </c>
      <c r="AA21" s="57" t="str">
        <f aca="false">IF(AND(AA$7=$I21,ISNUMBER($I21)),"◆","")</f>
        <v/>
      </c>
      <c r="AB21" s="57" t="str">
        <f aca="false">IF(AND(AB$7=$I21,ISNUMBER($I21)),"◆","")</f>
        <v/>
      </c>
      <c r="AC21" s="57" t="str">
        <f aca="false">IF(AND(AC$7=$I21,ISNUMBER($I21)),"◆","")</f>
        <v/>
      </c>
      <c r="AD21" s="57" t="str">
        <f aca="false">IF(AND(AD$7=$I21,ISNUMBER($I21)),"◆","")</f>
        <v/>
      </c>
      <c r="AE21" s="57" t="str">
        <f aca="false">IF(AND(AE$7=$I21,ISNUMBER($I21)),"◆","")</f>
        <v/>
      </c>
      <c r="AF21" s="57" t="str">
        <f aca="false">IF(AND(AF$7=$I21,ISNUMBER($I21)),"◆","")</f>
        <v/>
      </c>
      <c r="AG21" s="57" t="str">
        <f aca="false">IF(AND(AG$7=$I21,ISNUMBER($I21)),"◆","")</f>
        <v/>
      </c>
      <c r="AH21" s="57" t="str">
        <f aca="false">IF(AND(AH$7=$I21,ISNUMBER($I21)),"◆","")</f>
        <v/>
      </c>
      <c r="AI21" s="57" t="str">
        <f aca="false">IF(AND(AI$7=$I21,ISNUMBER($I21)),"◆","")</f>
        <v/>
      </c>
      <c r="AJ21" s="57" t="str">
        <f aca="false">IF(AND(AJ$7=$I21,ISNUMBER($I21)),"◆","")</f>
        <v/>
      </c>
      <c r="AK21" s="57" t="str">
        <f aca="false">IF(AND(AK$7=$I21,ISNUMBER($I21)),"◆","")</f>
        <v/>
      </c>
      <c r="AL21" s="57" t="str">
        <f aca="false">IF(AND(AL$7=$I21,ISNUMBER($I21)),"◆","")</f>
        <v/>
      </c>
      <c r="AM21" s="57" t="str">
        <f aca="false">IF(AND(AM$7=$I21,ISNUMBER($I21)),"◆","")</f>
        <v/>
      </c>
      <c r="AN21" s="57" t="str">
        <f aca="false">IF(AND(AN$7=$I21,ISNUMBER($I21)),"◆","")</f>
        <v/>
      </c>
      <c r="AO21" s="57" t="str">
        <f aca="false">IF(AND(AO$7=$I21,ISNUMBER($I21)),"◆","")</f>
        <v/>
      </c>
      <c r="AP21" s="57" t="str">
        <f aca="false">IF(AND(AP$7=$I21,ISNUMBER($I21)),"◆","")</f>
        <v/>
      </c>
      <c r="AQ21" s="57" t="str">
        <f aca="false">IF(AND(AQ$7=$I21,ISNUMBER($I21)),"◆","")</f>
        <v/>
      </c>
      <c r="AR21" s="57" t="str">
        <f aca="false">IF(AND(AR$7=$I21,ISNUMBER($I21)),"◆","")</f>
        <v/>
      </c>
      <c r="AS21" s="57" t="str">
        <f aca="false">IF(AND(AS$7=$I21,ISNUMBER($I21)),"◆","")</f>
        <v/>
      </c>
      <c r="AT21" s="57" t="str">
        <f aca="false">IF(AND(AT$7=$I21,ISNUMBER($I21)),"◆","")</f>
        <v/>
      </c>
      <c r="AU21" s="57" t="str">
        <f aca="false">IF(AND(AU$7=$I21,ISNUMBER($I21)),"◆","")</f>
        <v/>
      </c>
      <c r="AV21" s="57" t="str">
        <f aca="false">IF(AND(AV$7=$I21,ISNUMBER($I21)),"◆","")</f>
        <v/>
      </c>
      <c r="AW21" s="57" t="str">
        <f aca="false">IF(AND(AW$7=$I21,ISNUMBER($I21)),"◆","")</f>
        <v/>
      </c>
      <c r="AX21" s="57" t="str">
        <f aca="false">IF(AND(AX$7=$I21,ISNUMBER($I21)),"◆","")</f>
        <v/>
      </c>
      <c r="AY21" s="57" t="str">
        <f aca="false">IF(AND(AY$7=$I21,ISNUMBER($I21)),"◆","")</f>
        <v/>
      </c>
      <c r="AZ21" s="57" t="str">
        <f aca="false">IF(AND(AZ$7=$I21,ISNUMBER($I21)),"◆","")</f>
        <v/>
      </c>
      <c r="BA21" s="57" t="str">
        <f aca="false">IF(AND(BA$7=$I21,ISNUMBER($I21)),"◆","")</f>
        <v/>
      </c>
      <c r="BB21" s="57" t="str">
        <f aca="false">IF(AND(BB$7=$I21,ISNUMBER($I21)),"◆","")</f>
        <v/>
      </c>
      <c r="BC21" s="57" t="str">
        <f aca="false">IF(AND(BC$7=$I21,ISNUMBER($I21)),"◆","")</f>
        <v/>
      </c>
      <c r="BD21" s="57" t="str">
        <f aca="false">IF(AND(BD$7=$I21,ISNUMBER($I21)),"◆","")</f>
        <v/>
      </c>
      <c r="BE21" s="57" t="str">
        <f aca="false">IF(AND(BE$7=$I21,ISNUMBER($I21)),"◆","")</f>
        <v/>
      </c>
      <c r="BF21" s="57" t="str">
        <f aca="false">IF(AND(BF$7=$I21,ISNUMBER($I21)),"◆","")</f>
        <v/>
      </c>
      <c r="BG21" s="57" t="str">
        <f aca="false">IF(AND(BG$7=$I21,ISNUMBER($I21)),"◆","")</f>
        <v/>
      </c>
      <c r="BH21" s="57" t="str">
        <f aca="false">IF(AND(BH$7=$I21,ISNUMBER($I21)),"◆","")</f>
        <v/>
      </c>
      <c r="BI21" s="57" t="str">
        <f aca="false">IF(AND(BI$7=$I21,ISNUMBER($I21)),"◆","")</f>
        <v/>
      </c>
      <c r="BJ21" s="57" t="str">
        <f aca="false">IF(AND(BJ$7=$I21,ISNUMBER($I21)),"◆","")</f>
        <v/>
      </c>
      <c r="BK21" s="57" t="str">
        <f aca="false">IF(AND(BK$7=$I21,ISNUMBER($I21)),"◆","")</f>
        <v/>
      </c>
      <c r="BL21" s="57" t="str">
        <f aca="false">IF(AND(BL$7=$I21,ISNUMBER($I21)),"◆","")</f>
        <v/>
      </c>
      <c r="BM21" s="57" t="str">
        <f aca="false">IF(AND(BM$7=$I21,ISNUMBER($I21)),"◆","")</f>
        <v/>
      </c>
      <c r="BN21" s="57" t="str">
        <f aca="false">IF(AND(BN$7=$I21,ISNUMBER($I21)),"◆","")</f>
        <v/>
      </c>
      <c r="BO21" s="57" t="str">
        <f aca="false">IF(AND(BO$7=$I21,ISNUMBER($I21)),"◆","")</f>
        <v/>
      </c>
      <c r="BP21" s="57" t="str">
        <f aca="false">IF(AND(BP$7=$I21,ISNUMBER($I21)),"◆","")</f>
        <v/>
      </c>
      <c r="BQ21" s="57" t="str">
        <f aca="false">IF(AND(BQ$7=$I21,ISNUMBER($I21)),"◆","")</f>
        <v/>
      </c>
      <c r="BR21" s="57" t="str">
        <f aca="false">IF(AND(BR$7=$I21,ISNUMBER($I21)),"◆","")</f>
        <v/>
      </c>
      <c r="BS21" s="57" t="str">
        <f aca="false">IF(AND(BS$7=$I21,ISNUMBER($I21)),"◆","")</f>
        <v/>
      </c>
      <c r="BT21" s="57" t="str">
        <f aca="false">IF(AND(BT$7=$I21,ISNUMBER($I21)),"◆","")</f>
        <v/>
      </c>
      <c r="BU21" s="57" t="str">
        <f aca="false">IF(AND(BU$7=$I21,ISNUMBER($I21)),"◆","")</f>
        <v/>
      </c>
      <c r="BV21" s="57" t="str">
        <f aca="false">IF(AND(BV$7=$I21,ISNUMBER($I21)),"◆","")</f>
        <v/>
      </c>
      <c r="BW21" s="57" t="str">
        <f aca="false">IF(AND(BW$7=$I21,ISNUMBER($I21)),"◆","")</f>
        <v/>
      </c>
      <c r="BX21" s="57" t="str">
        <f aca="false">IF(AND(BX$7=$I21,ISNUMBER($I21)),"◆","")</f>
        <v/>
      </c>
      <c r="BY21" s="57" t="str">
        <f aca="false">IF(AND(BY$7=$I21,ISNUMBER($I21)),"◆","")</f>
        <v/>
      </c>
      <c r="BZ21" s="57" t="str">
        <f aca="false">IF(AND(BZ$7=$I21,ISNUMBER($I21)),"◆","")</f>
        <v/>
      </c>
      <c r="CA21" s="57" t="str">
        <f aca="false">IF(AND(CA$7=$I21,ISNUMBER($I21)),"◆","")</f>
        <v/>
      </c>
      <c r="CB21" s="57" t="str">
        <f aca="false">IF(AND(CB$7=$I21,ISNUMBER($I21)),"◆","")</f>
        <v/>
      </c>
      <c r="CC21" s="57" t="str">
        <f aca="false">IF(AND(CC$7=$I21,ISNUMBER($I21)),"◆","")</f>
        <v/>
      </c>
      <c r="CD21" s="57" t="str">
        <f aca="false">IF(AND(CD$7=$I21,ISNUMBER($I21)),"◆","")</f>
        <v/>
      </c>
      <c r="CE21" s="57" t="str">
        <f aca="false">IF(AND(CE$7=$I21,ISNUMBER($I21)),"◆","")</f>
        <v/>
      </c>
      <c r="CF21" s="57" t="str">
        <f aca="false">IF(AND(CF$7=$I21,ISNUMBER($I21)),"◆","")</f>
        <v/>
      </c>
      <c r="CG21" s="57" t="str">
        <f aca="false">IF(AND(CG$7=$I21,ISNUMBER($I21)),"◆","")</f>
        <v/>
      </c>
      <c r="CH21" s="57" t="str">
        <f aca="false">IF(AND(CH$7=$I21,ISNUMBER($I21)),"◆","")</f>
        <v/>
      </c>
      <c r="CI21" s="57" t="str">
        <f aca="false">IF(AND(CI$7=$I21,ISNUMBER($I21)),"◆","")</f>
        <v/>
      </c>
      <c r="CJ21" s="57" t="str">
        <f aca="false">IF(AND(CJ$7=$I21,ISNUMBER($I21)),"◆","")</f>
        <v/>
      </c>
      <c r="CK21" s="57" t="str">
        <f aca="false">IF(AND(CK$7=$I21,ISNUMBER($I21)),"◆","")</f>
        <v/>
      </c>
      <c r="CL21" s="57" t="str">
        <f aca="false">IF(AND(CL$7=$I21,ISNUMBER($I21)),"◆","")</f>
        <v/>
      </c>
      <c r="CM21" s="57" t="str">
        <f aca="false">IF(AND(CM$7=$I21,ISNUMBER($I21)),"◆","")</f>
        <v/>
      </c>
      <c r="CN21" s="57" t="str">
        <f aca="false">IF(AND(CN$7=$I21,ISNUMBER($I21)),"◆","")</f>
        <v/>
      </c>
      <c r="CO21" s="57" t="str">
        <f aca="false">IF(AND(CO$7=$I21,ISNUMBER($I21)),"◆","")</f>
        <v/>
      </c>
      <c r="CP21" s="57" t="str">
        <f aca="false">IF(AND(CP$7=$I21,ISNUMBER($I21)),"◆","")</f>
        <v/>
      </c>
      <c r="CQ21" s="57" t="str">
        <f aca="false">IF(AND(CQ$7=$I21,ISNUMBER($I21)),"◆","")</f>
        <v/>
      </c>
      <c r="CR21" s="57" t="str">
        <f aca="false">IF(AND(CR$7=$I21,ISNUMBER($I21)),"◆","")</f>
        <v/>
      </c>
      <c r="CS21" s="57" t="str">
        <f aca="false">IF(AND(CS$7=$I21,ISNUMBER($I21)),"◆","")</f>
        <v/>
      </c>
      <c r="CT21" s="57" t="str">
        <f aca="false">IF(AND(CT$7=$I21,ISNUMBER($I21)),"◆","")</f>
        <v/>
      </c>
      <c r="CU21" s="57" t="str">
        <f aca="false">IF(AND(CU$7=$I21,ISNUMBER($I21)),"◆","")</f>
        <v/>
      </c>
      <c r="CV21" s="57" t="str">
        <f aca="false">IF(AND(CV$7=$I21,ISNUMBER($I21)),"◆","")</f>
        <v/>
      </c>
      <c r="CW21" s="57" t="str">
        <f aca="false">IF(AND(CW$7=$I21,ISNUMBER($I21)),"◆","")</f>
        <v/>
      </c>
      <c r="CX21" s="57" t="str">
        <f aca="false">IF(AND(CX$7=$I21,ISNUMBER($I21)),"◆","")</f>
        <v/>
      </c>
      <c r="CY21" s="57" t="str">
        <f aca="false">IF(AND(CY$7=$I21,ISNUMBER($I21)),"◆","")</f>
        <v/>
      </c>
      <c r="CZ21" s="57" t="str">
        <f aca="false">IF(AND(CZ$7=$I21,ISNUMBER($I21)),"◆","")</f>
        <v/>
      </c>
      <c r="DA21" s="57" t="str">
        <f aca="false">IF(AND(DA$7=$I21,ISNUMBER($I21)),"◆","")</f>
        <v/>
      </c>
      <c r="DB21" s="57" t="str">
        <f aca="false">IF(AND(DB$7=$I21,ISNUMBER($I21)),"◆","")</f>
        <v/>
      </c>
      <c r="DC21" s="57" t="str">
        <f aca="false">IF(AND(DC$7=$I21,ISNUMBER($I21)),"◆","")</f>
        <v/>
      </c>
      <c r="DD21" s="57" t="str">
        <f aca="false">IF(AND(DD$7=$I21,ISNUMBER($I21)),"◆","")</f>
        <v/>
      </c>
      <c r="DE21" s="57" t="str">
        <f aca="false">IF(AND(DE$7=$I21,ISNUMBER($I21)),"◆","")</f>
        <v/>
      </c>
      <c r="DF21" s="57" t="str">
        <f aca="false">IF(AND(DF$7=$I21,ISNUMBER($I21)),"◆","")</f>
        <v/>
      </c>
      <c r="DG21" s="57" t="str">
        <f aca="false">IF(AND(DG$7=$I21,ISNUMBER($I21)),"◆","")</f>
        <v/>
      </c>
      <c r="DH21" s="57" t="str">
        <f aca="false">IF(AND(DH$7=$I21,ISNUMBER($I21)),"◆","")</f>
        <v/>
      </c>
      <c r="DI21" s="57" t="str">
        <f aca="false">IF(AND(DI$7=$I21,ISNUMBER($I21)),"◆","")</f>
        <v/>
      </c>
      <c r="DJ21" s="57" t="str">
        <f aca="false">IF(AND(DJ$7=$I21,ISNUMBER($I21)),"◆","")</f>
        <v/>
      </c>
      <c r="DK21" s="57" t="str">
        <f aca="false">IF(AND(DK$7=$I21,ISNUMBER($I21)),"◆","")</f>
        <v/>
      </c>
      <c r="DL21" s="57" t="str">
        <f aca="false">IF(AND(DL$7=$I21,ISNUMBER($I21)),"◆","")</f>
        <v/>
      </c>
      <c r="DM21" s="57" t="str">
        <f aca="false">IF(AND(DM$7=$I21,ISNUMBER($I21)),"◆","")</f>
        <v/>
      </c>
      <c r="DN21" s="57" t="str">
        <f aca="false">IF(AND(DN$7=$I21,ISNUMBER($I21)),"◆","")</f>
        <v/>
      </c>
      <c r="DO21" s="57" t="str">
        <f aca="false">IF(AND(DO$7=$I21,ISNUMBER($I21)),"◆","")</f>
        <v/>
      </c>
      <c r="DP21" s="57" t="str">
        <f aca="false">IF(AND(DP$7=$I21,ISNUMBER($I21)),"◆","")</f>
        <v/>
      </c>
      <c r="DQ21" s="57" t="str">
        <f aca="false">IF(AND(DQ$7=$I21,ISNUMBER($I21)),"◆","")</f>
        <v/>
      </c>
      <c r="DR21" s="57" t="str">
        <f aca="false">IF(AND(DR$7=$I21,ISNUMBER($I21)),"◆","")</f>
        <v/>
      </c>
      <c r="DS21" s="57" t="str">
        <f aca="false">IF(AND(DS$7=$I21,ISNUMBER($I21)),"◆","")</f>
        <v/>
      </c>
      <c r="DT21" s="57" t="str">
        <f aca="false">IF(AND(DT$7=$I21,ISNUMBER($I21)),"◆","")</f>
        <v/>
      </c>
      <c r="DU21" s="57" t="str">
        <f aca="false">IF(AND(DU$7=$I21,ISNUMBER($I21)),"◆","")</f>
        <v/>
      </c>
      <c r="DV21" s="57" t="str">
        <f aca="false">IF(AND(DV$7=$I21,ISNUMBER($I21)),"◆","")</f>
        <v/>
      </c>
      <c r="DW21" s="57" t="str">
        <f aca="false">IF(AND(DW$7=$I21,ISNUMBER($I21)),"◆","")</f>
        <v/>
      </c>
      <c r="DX21" s="57" t="str">
        <f aca="false">IF(AND(DX$7=$I21,ISNUMBER($I21)),"◆","")</f>
        <v/>
      </c>
      <c r="DY21" s="57" t="str">
        <f aca="false">IF(AND(DY$7=$I21,ISNUMBER($I21)),"◆","")</f>
        <v/>
      </c>
      <c r="DZ21" s="57" t="str">
        <f aca="false">IF(AND(DZ$7=$I21,ISNUMBER($I21)),"◆","")</f>
        <v/>
      </c>
      <c r="EA21" s="57" t="str">
        <f aca="false">IF(AND(EA$7=$I21,ISNUMBER($I21)),"◆","")</f>
        <v/>
      </c>
      <c r="EB21" s="57" t="str">
        <f aca="false">IF(AND(EB$7=$I21,ISNUMBER($I21)),"◆","")</f>
        <v/>
      </c>
      <c r="EC21" s="57" t="str">
        <f aca="false">IF(AND(EC$7=$I21,ISNUMBER($I21)),"◆","")</f>
        <v/>
      </c>
      <c r="ED21" s="57" t="str">
        <f aca="false">IF(AND(ED$7=$I21,ISNUMBER($I21)),"◆","")</f>
        <v/>
      </c>
      <c r="EE21" s="57" t="str">
        <f aca="false">IF(AND(EE$7=$I21,ISNUMBER($I21)),"◆","")</f>
        <v/>
      </c>
      <c r="EF21" s="57" t="str">
        <f aca="false">IF(AND(EF$7=$I21,ISNUMBER($I21)),"◆","")</f>
        <v/>
      </c>
      <c r="EG21" s="57" t="str">
        <f aca="false">IF(AND(EG$7=$I21,ISNUMBER($I21)),"◆","")</f>
        <v/>
      </c>
      <c r="EH21" s="57" t="str">
        <f aca="false">IF(AND(EH$7=$I21,ISNUMBER($I21)),"◆","")</f>
        <v/>
      </c>
      <c r="EI21" s="57" t="str">
        <f aca="false">IF(AND(EI$7=$I21,ISNUMBER($I21)),"◆","")</f>
        <v/>
      </c>
      <c r="EJ21" s="57" t="str">
        <f aca="false">IF(AND(EJ$7=$I21,ISNUMBER($I21)),"◆","")</f>
        <v/>
      </c>
      <c r="EK21" s="57" t="str">
        <f aca="false">IF(AND(EK$7=$I21,ISNUMBER($I21)),"◆","")</f>
        <v/>
      </c>
      <c r="EL21" s="57" t="str">
        <f aca="false">IF(AND(EL$7=$I21,ISNUMBER($I21)),"◆","")</f>
        <v/>
      </c>
      <c r="EM21" s="57" t="str">
        <f aca="false">IF(AND(EM$7=$I21,ISNUMBER($I21)),"◆","")</f>
        <v/>
      </c>
    </row>
    <row r="22" customFormat="false" ht="25.5" hidden="false" customHeight="true" outlineLevel="0" collapsed="false">
      <c r="A22" s="50" t="str">
        <f aca="false">制作工程表!A18</f>
        <v>T10</v>
      </c>
      <c r="B22" s="51" t="str">
        <f aca="false">制作工程表!B18</f>
        <v>取材撮影</v>
      </c>
      <c r="C22" s="52" t="str">
        <f aca="false">制作工程表!C18</f>
        <v>本社工場の取材・撮影（溶接・組立・人物）</v>
      </c>
      <c r="D22" s="53" t="str">
        <f aca="false">制作工程表!D18</f>
        <v>ライター・カメラマン</v>
      </c>
      <c r="E22" s="53" t="str">
        <f aca="false">制作工程表!E18</f>
        <v>総務窓口</v>
      </c>
      <c r="F22" s="54" t="str">
        <f aca="false">IF(制作工程表!B18="取材撮影","撮影",IF(OR(制作工程表!D18="総務窓口",制作工程表!D18="工場長",制作工程表!D18="代表",制作工程表!D18="営業・生産管理"),"企業","制作"))</f>
        <v>撮影</v>
      </c>
      <c r="G22" s="55" t="n">
        <f aca="false">制作工程表!G18</f>
        <v>46378</v>
      </c>
      <c r="H22" s="55" t="n">
        <f aca="false">制作工程表!H18</f>
        <v>46378</v>
      </c>
      <c r="I22" s="56" t="str">
        <f aca="false">制作工程表!I18</f>
        <v>—</v>
      </c>
      <c r="J22" s="51" t="str">
        <f aca="false">制作工程表!K18</f>
        <v>未着手</v>
      </c>
      <c r="K22" s="57" t="str">
        <f aca="false">IF(AND(K$7=$I22,ISNUMBER($I22)),"◆","")</f>
        <v/>
      </c>
      <c r="L22" s="57" t="str">
        <f aca="false">IF(AND(L$7=$I22,ISNUMBER($I22)),"◆","")</f>
        <v/>
      </c>
      <c r="M22" s="57" t="str">
        <f aca="false">IF(AND(M$7=$I22,ISNUMBER($I22)),"◆","")</f>
        <v/>
      </c>
      <c r="N22" s="57" t="str">
        <f aca="false">IF(AND(N$7=$I22,ISNUMBER($I22)),"◆","")</f>
        <v/>
      </c>
      <c r="O22" s="57" t="str">
        <f aca="false">IF(AND(O$7=$I22,ISNUMBER($I22)),"◆","")</f>
        <v/>
      </c>
      <c r="P22" s="57" t="str">
        <f aca="false">IF(AND(P$7=$I22,ISNUMBER($I22)),"◆","")</f>
        <v/>
      </c>
      <c r="Q22" s="57" t="str">
        <f aca="false">IF(AND(Q$7=$I22,ISNUMBER($I22)),"◆","")</f>
        <v/>
      </c>
      <c r="R22" s="57" t="str">
        <f aca="false">IF(AND(R$7=$I22,ISNUMBER($I22)),"◆","")</f>
        <v/>
      </c>
      <c r="S22" s="57" t="str">
        <f aca="false">IF(AND(S$7=$I22,ISNUMBER($I22)),"◆","")</f>
        <v/>
      </c>
      <c r="T22" s="57" t="str">
        <f aca="false">IF(AND(T$7=$I22,ISNUMBER($I22)),"◆","")</f>
        <v/>
      </c>
      <c r="U22" s="57" t="str">
        <f aca="false">IF(AND(U$7=$I22,ISNUMBER($I22)),"◆","")</f>
        <v/>
      </c>
      <c r="V22" s="57" t="str">
        <f aca="false">IF(AND(V$7=$I22,ISNUMBER($I22)),"◆","")</f>
        <v/>
      </c>
      <c r="W22" s="57" t="str">
        <f aca="false">IF(AND(W$7=$I22,ISNUMBER($I22)),"◆","")</f>
        <v/>
      </c>
      <c r="X22" s="57" t="str">
        <f aca="false">IF(AND(X$7=$I22,ISNUMBER($I22)),"◆","")</f>
        <v/>
      </c>
      <c r="Y22" s="57" t="str">
        <f aca="false">IF(AND(Y$7=$I22,ISNUMBER($I22)),"◆","")</f>
        <v/>
      </c>
      <c r="Z22" s="57" t="str">
        <f aca="false">IF(AND(Z$7=$I22,ISNUMBER($I22)),"◆","")</f>
        <v/>
      </c>
      <c r="AA22" s="57" t="str">
        <f aca="false">IF(AND(AA$7=$I22,ISNUMBER($I22)),"◆","")</f>
        <v/>
      </c>
      <c r="AB22" s="57" t="str">
        <f aca="false">IF(AND(AB$7=$I22,ISNUMBER($I22)),"◆","")</f>
        <v/>
      </c>
      <c r="AC22" s="57" t="str">
        <f aca="false">IF(AND(AC$7=$I22,ISNUMBER($I22)),"◆","")</f>
        <v/>
      </c>
      <c r="AD22" s="57" t="str">
        <f aca="false">IF(AND(AD$7=$I22,ISNUMBER($I22)),"◆","")</f>
        <v/>
      </c>
      <c r="AE22" s="57" t="str">
        <f aca="false">IF(AND(AE$7=$I22,ISNUMBER($I22)),"◆","")</f>
        <v/>
      </c>
      <c r="AF22" s="57" t="str">
        <f aca="false">IF(AND(AF$7=$I22,ISNUMBER($I22)),"◆","")</f>
        <v/>
      </c>
      <c r="AG22" s="57" t="str">
        <f aca="false">IF(AND(AG$7=$I22,ISNUMBER($I22)),"◆","")</f>
        <v/>
      </c>
      <c r="AH22" s="57" t="str">
        <f aca="false">IF(AND(AH$7=$I22,ISNUMBER($I22)),"◆","")</f>
        <v/>
      </c>
      <c r="AI22" s="57" t="str">
        <f aca="false">IF(AND(AI$7=$I22,ISNUMBER($I22)),"◆","")</f>
        <v/>
      </c>
      <c r="AJ22" s="57" t="str">
        <f aca="false">IF(AND(AJ$7=$I22,ISNUMBER($I22)),"◆","")</f>
        <v/>
      </c>
      <c r="AK22" s="57" t="str">
        <f aca="false">IF(AND(AK$7=$I22,ISNUMBER($I22)),"◆","")</f>
        <v/>
      </c>
      <c r="AL22" s="57" t="str">
        <f aca="false">IF(AND(AL$7=$I22,ISNUMBER($I22)),"◆","")</f>
        <v/>
      </c>
      <c r="AM22" s="57" t="str">
        <f aca="false">IF(AND(AM$7=$I22,ISNUMBER($I22)),"◆","")</f>
        <v/>
      </c>
      <c r="AN22" s="57" t="str">
        <f aca="false">IF(AND(AN$7=$I22,ISNUMBER($I22)),"◆","")</f>
        <v/>
      </c>
      <c r="AO22" s="57" t="str">
        <f aca="false">IF(AND(AO$7=$I22,ISNUMBER($I22)),"◆","")</f>
        <v/>
      </c>
      <c r="AP22" s="57" t="str">
        <f aca="false">IF(AND(AP$7=$I22,ISNUMBER($I22)),"◆","")</f>
        <v/>
      </c>
      <c r="AQ22" s="57" t="str">
        <f aca="false">IF(AND(AQ$7=$I22,ISNUMBER($I22)),"◆","")</f>
        <v/>
      </c>
      <c r="AR22" s="57" t="str">
        <f aca="false">IF(AND(AR$7=$I22,ISNUMBER($I22)),"◆","")</f>
        <v/>
      </c>
      <c r="AS22" s="57" t="str">
        <f aca="false">IF(AND(AS$7=$I22,ISNUMBER($I22)),"◆","")</f>
        <v/>
      </c>
      <c r="AT22" s="57" t="str">
        <f aca="false">IF(AND(AT$7=$I22,ISNUMBER($I22)),"◆","")</f>
        <v/>
      </c>
      <c r="AU22" s="57" t="str">
        <f aca="false">IF(AND(AU$7=$I22,ISNUMBER($I22)),"◆","")</f>
        <v/>
      </c>
      <c r="AV22" s="57" t="str">
        <f aca="false">IF(AND(AV$7=$I22,ISNUMBER($I22)),"◆","")</f>
        <v/>
      </c>
      <c r="AW22" s="57" t="str">
        <f aca="false">IF(AND(AW$7=$I22,ISNUMBER($I22)),"◆","")</f>
        <v/>
      </c>
      <c r="AX22" s="57" t="str">
        <f aca="false">IF(AND(AX$7=$I22,ISNUMBER($I22)),"◆","")</f>
        <v/>
      </c>
      <c r="AY22" s="57" t="str">
        <f aca="false">IF(AND(AY$7=$I22,ISNUMBER($I22)),"◆","")</f>
        <v/>
      </c>
      <c r="AZ22" s="57" t="str">
        <f aca="false">IF(AND(AZ$7=$I22,ISNUMBER($I22)),"◆","")</f>
        <v/>
      </c>
      <c r="BA22" s="57" t="str">
        <f aca="false">IF(AND(BA$7=$I22,ISNUMBER($I22)),"◆","")</f>
        <v/>
      </c>
      <c r="BB22" s="57" t="str">
        <f aca="false">IF(AND(BB$7=$I22,ISNUMBER($I22)),"◆","")</f>
        <v/>
      </c>
      <c r="BC22" s="57" t="str">
        <f aca="false">IF(AND(BC$7=$I22,ISNUMBER($I22)),"◆","")</f>
        <v/>
      </c>
      <c r="BD22" s="57" t="str">
        <f aca="false">IF(AND(BD$7=$I22,ISNUMBER($I22)),"◆","")</f>
        <v/>
      </c>
      <c r="BE22" s="57" t="str">
        <f aca="false">IF(AND(BE$7=$I22,ISNUMBER($I22)),"◆","")</f>
        <v/>
      </c>
      <c r="BF22" s="57" t="str">
        <f aca="false">IF(AND(BF$7=$I22,ISNUMBER($I22)),"◆","")</f>
        <v/>
      </c>
      <c r="BG22" s="57" t="str">
        <f aca="false">IF(AND(BG$7=$I22,ISNUMBER($I22)),"◆","")</f>
        <v/>
      </c>
      <c r="BH22" s="57" t="str">
        <f aca="false">IF(AND(BH$7=$I22,ISNUMBER($I22)),"◆","")</f>
        <v/>
      </c>
      <c r="BI22" s="57" t="str">
        <f aca="false">IF(AND(BI$7=$I22,ISNUMBER($I22)),"◆","")</f>
        <v/>
      </c>
      <c r="BJ22" s="57" t="str">
        <f aca="false">IF(AND(BJ$7=$I22,ISNUMBER($I22)),"◆","")</f>
        <v/>
      </c>
      <c r="BK22" s="57" t="str">
        <f aca="false">IF(AND(BK$7=$I22,ISNUMBER($I22)),"◆","")</f>
        <v/>
      </c>
      <c r="BL22" s="57" t="str">
        <f aca="false">IF(AND(BL$7=$I22,ISNUMBER($I22)),"◆","")</f>
        <v/>
      </c>
      <c r="BM22" s="57" t="str">
        <f aca="false">IF(AND(BM$7=$I22,ISNUMBER($I22)),"◆","")</f>
        <v/>
      </c>
      <c r="BN22" s="57" t="str">
        <f aca="false">IF(AND(BN$7=$I22,ISNUMBER($I22)),"◆","")</f>
        <v/>
      </c>
      <c r="BO22" s="57" t="str">
        <f aca="false">IF(AND(BO$7=$I22,ISNUMBER($I22)),"◆","")</f>
        <v/>
      </c>
      <c r="BP22" s="57" t="str">
        <f aca="false">IF(AND(BP$7=$I22,ISNUMBER($I22)),"◆","")</f>
        <v/>
      </c>
      <c r="BQ22" s="57" t="str">
        <f aca="false">IF(AND(BQ$7=$I22,ISNUMBER($I22)),"◆","")</f>
        <v/>
      </c>
      <c r="BR22" s="57" t="str">
        <f aca="false">IF(AND(BR$7=$I22,ISNUMBER($I22)),"◆","")</f>
        <v/>
      </c>
      <c r="BS22" s="57" t="str">
        <f aca="false">IF(AND(BS$7=$I22,ISNUMBER($I22)),"◆","")</f>
        <v/>
      </c>
      <c r="BT22" s="57" t="str">
        <f aca="false">IF(AND(BT$7=$I22,ISNUMBER($I22)),"◆","")</f>
        <v/>
      </c>
      <c r="BU22" s="57" t="str">
        <f aca="false">IF(AND(BU$7=$I22,ISNUMBER($I22)),"◆","")</f>
        <v/>
      </c>
      <c r="BV22" s="57" t="str">
        <f aca="false">IF(AND(BV$7=$I22,ISNUMBER($I22)),"◆","")</f>
        <v/>
      </c>
      <c r="BW22" s="57" t="str">
        <f aca="false">IF(AND(BW$7=$I22,ISNUMBER($I22)),"◆","")</f>
        <v/>
      </c>
      <c r="BX22" s="57" t="str">
        <f aca="false">IF(AND(BX$7=$I22,ISNUMBER($I22)),"◆","")</f>
        <v/>
      </c>
      <c r="BY22" s="57" t="str">
        <f aca="false">IF(AND(BY$7=$I22,ISNUMBER($I22)),"◆","")</f>
        <v/>
      </c>
      <c r="BZ22" s="57" t="str">
        <f aca="false">IF(AND(BZ$7=$I22,ISNUMBER($I22)),"◆","")</f>
        <v/>
      </c>
      <c r="CA22" s="57" t="str">
        <f aca="false">IF(AND(CA$7=$I22,ISNUMBER($I22)),"◆","")</f>
        <v/>
      </c>
      <c r="CB22" s="57" t="str">
        <f aca="false">IF(AND(CB$7=$I22,ISNUMBER($I22)),"◆","")</f>
        <v/>
      </c>
      <c r="CC22" s="57" t="str">
        <f aca="false">IF(AND(CC$7=$I22,ISNUMBER($I22)),"◆","")</f>
        <v/>
      </c>
      <c r="CD22" s="57" t="str">
        <f aca="false">IF(AND(CD$7=$I22,ISNUMBER($I22)),"◆","")</f>
        <v/>
      </c>
      <c r="CE22" s="57" t="str">
        <f aca="false">IF(AND(CE$7=$I22,ISNUMBER($I22)),"◆","")</f>
        <v/>
      </c>
      <c r="CF22" s="57" t="str">
        <f aca="false">IF(AND(CF$7=$I22,ISNUMBER($I22)),"◆","")</f>
        <v/>
      </c>
      <c r="CG22" s="57" t="str">
        <f aca="false">IF(AND(CG$7=$I22,ISNUMBER($I22)),"◆","")</f>
        <v/>
      </c>
      <c r="CH22" s="57" t="str">
        <f aca="false">IF(AND(CH$7=$I22,ISNUMBER($I22)),"◆","")</f>
        <v/>
      </c>
      <c r="CI22" s="57" t="str">
        <f aca="false">IF(AND(CI$7=$I22,ISNUMBER($I22)),"◆","")</f>
        <v/>
      </c>
      <c r="CJ22" s="57" t="str">
        <f aca="false">IF(AND(CJ$7=$I22,ISNUMBER($I22)),"◆","")</f>
        <v/>
      </c>
      <c r="CK22" s="57" t="str">
        <f aca="false">IF(AND(CK$7=$I22,ISNUMBER($I22)),"◆","")</f>
        <v/>
      </c>
      <c r="CL22" s="57" t="str">
        <f aca="false">IF(AND(CL$7=$I22,ISNUMBER($I22)),"◆","")</f>
        <v/>
      </c>
      <c r="CM22" s="57" t="str">
        <f aca="false">IF(AND(CM$7=$I22,ISNUMBER($I22)),"◆","")</f>
        <v/>
      </c>
      <c r="CN22" s="57" t="str">
        <f aca="false">IF(AND(CN$7=$I22,ISNUMBER($I22)),"◆","")</f>
        <v/>
      </c>
      <c r="CO22" s="57" t="str">
        <f aca="false">IF(AND(CO$7=$I22,ISNUMBER($I22)),"◆","")</f>
        <v/>
      </c>
      <c r="CP22" s="57" t="str">
        <f aca="false">IF(AND(CP$7=$I22,ISNUMBER($I22)),"◆","")</f>
        <v/>
      </c>
      <c r="CQ22" s="57" t="str">
        <f aca="false">IF(AND(CQ$7=$I22,ISNUMBER($I22)),"◆","")</f>
        <v/>
      </c>
      <c r="CR22" s="57" t="str">
        <f aca="false">IF(AND(CR$7=$I22,ISNUMBER($I22)),"◆","")</f>
        <v/>
      </c>
      <c r="CS22" s="57" t="str">
        <f aca="false">IF(AND(CS$7=$I22,ISNUMBER($I22)),"◆","")</f>
        <v/>
      </c>
      <c r="CT22" s="57" t="str">
        <f aca="false">IF(AND(CT$7=$I22,ISNUMBER($I22)),"◆","")</f>
        <v/>
      </c>
      <c r="CU22" s="57" t="str">
        <f aca="false">IF(AND(CU$7=$I22,ISNUMBER($I22)),"◆","")</f>
        <v/>
      </c>
      <c r="CV22" s="57" t="str">
        <f aca="false">IF(AND(CV$7=$I22,ISNUMBER($I22)),"◆","")</f>
        <v/>
      </c>
      <c r="CW22" s="57" t="str">
        <f aca="false">IF(AND(CW$7=$I22,ISNUMBER($I22)),"◆","")</f>
        <v/>
      </c>
      <c r="CX22" s="57" t="str">
        <f aca="false">IF(AND(CX$7=$I22,ISNUMBER($I22)),"◆","")</f>
        <v/>
      </c>
      <c r="CY22" s="57" t="str">
        <f aca="false">IF(AND(CY$7=$I22,ISNUMBER($I22)),"◆","")</f>
        <v/>
      </c>
      <c r="CZ22" s="57" t="str">
        <f aca="false">IF(AND(CZ$7=$I22,ISNUMBER($I22)),"◆","")</f>
        <v/>
      </c>
      <c r="DA22" s="57" t="str">
        <f aca="false">IF(AND(DA$7=$I22,ISNUMBER($I22)),"◆","")</f>
        <v/>
      </c>
      <c r="DB22" s="57" t="str">
        <f aca="false">IF(AND(DB$7=$I22,ISNUMBER($I22)),"◆","")</f>
        <v/>
      </c>
      <c r="DC22" s="57" t="str">
        <f aca="false">IF(AND(DC$7=$I22,ISNUMBER($I22)),"◆","")</f>
        <v/>
      </c>
      <c r="DD22" s="57" t="str">
        <f aca="false">IF(AND(DD$7=$I22,ISNUMBER($I22)),"◆","")</f>
        <v/>
      </c>
      <c r="DE22" s="57" t="str">
        <f aca="false">IF(AND(DE$7=$I22,ISNUMBER($I22)),"◆","")</f>
        <v/>
      </c>
      <c r="DF22" s="57" t="str">
        <f aca="false">IF(AND(DF$7=$I22,ISNUMBER($I22)),"◆","")</f>
        <v/>
      </c>
      <c r="DG22" s="57" t="str">
        <f aca="false">IF(AND(DG$7=$I22,ISNUMBER($I22)),"◆","")</f>
        <v/>
      </c>
      <c r="DH22" s="57" t="str">
        <f aca="false">IF(AND(DH$7=$I22,ISNUMBER($I22)),"◆","")</f>
        <v/>
      </c>
      <c r="DI22" s="57" t="str">
        <f aca="false">IF(AND(DI$7=$I22,ISNUMBER($I22)),"◆","")</f>
        <v/>
      </c>
      <c r="DJ22" s="57" t="str">
        <f aca="false">IF(AND(DJ$7=$I22,ISNUMBER($I22)),"◆","")</f>
        <v/>
      </c>
      <c r="DK22" s="57" t="str">
        <f aca="false">IF(AND(DK$7=$I22,ISNUMBER($I22)),"◆","")</f>
        <v/>
      </c>
      <c r="DL22" s="57" t="str">
        <f aca="false">IF(AND(DL$7=$I22,ISNUMBER($I22)),"◆","")</f>
        <v/>
      </c>
      <c r="DM22" s="57" t="str">
        <f aca="false">IF(AND(DM$7=$I22,ISNUMBER($I22)),"◆","")</f>
        <v/>
      </c>
      <c r="DN22" s="57" t="str">
        <f aca="false">IF(AND(DN$7=$I22,ISNUMBER($I22)),"◆","")</f>
        <v/>
      </c>
      <c r="DO22" s="57" t="str">
        <f aca="false">IF(AND(DO$7=$I22,ISNUMBER($I22)),"◆","")</f>
        <v/>
      </c>
      <c r="DP22" s="57" t="str">
        <f aca="false">IF(AND(DP$7=$I22,ISNUMBER($I22)),"◆","")</f>
        <v/>
      </c>
      <c r="DQ22" s="57" t="str">
        <f aca="false">IF(AND(DQ$7=$I22,ISNUMBER($I22)),"◆","")</f>
        <v/>
      </c>
      <c r="DR22" s="57" t="str">
        <f aca="false">IF(AND(DR$7=$I22,ISNUMBER($I22)),"◆","")</f>
        <v/>
      </c>
      <c r="DS22" s="57" t="str">
        <f aca="false">IF(AND(DS$7=$I22,ISNUMBER($I22)),"◆","")</f>
        <v/>
      </c>
      <c r="DT22" s="57" t="str">
        <f aca="false">IF(AND(DT$7=$I22,ISNUMBER($I22)),"◆","")</f>
        <v/>
      </c>
      <c r="DU22" s="57" t="str">
        <f aca="false">IF(AND(DU$7=$I22,ISNUMBER($I22)),"◆","")</f>
        <v/>
      </c>
      <c r="DV22" s="57" t="str">
        <f aca="false">IF(AND(DV$7=$I22,ISNUMBER($I22)),"◆","")</f>
        <v/>
      </c>
      <c r="DW22" s="57" t="str">
        <f aca="false">IF(AND(DW$7=$I22,ISNUMBER($I22)),"◆","")</f>
        <v/>
      </c>
      <c r="DX22" s="57" t="str">
        <f aca="false">IF(AND(DX$7=$I22,ISNUMBER($I22)),"◆","")</f>
        <v/>
      </c>
      <c r="DY22" s="57" t="str">
        <f aca="false">IF(AND(DY$7=$I22,ISNUMBER($I22)),"◆","")</f>
        <v/>
      </c>
      <c r="DZ22" s="57" t="str">
        <f aca="false">IF(AND(DZ$7=$I22,ISNUMBER($I22)),"◆","")</f>
        <v/>
      </c>
      <c r="EA22" s="57" t="str">
        <f aca="false">IF(AND(EA$7=$I22,ISNUMBER($I22)),"◆","")</f>
        <v/>
      </c>
      <c r="EB22" s="57" t="str">
        <f aca="false">IF(AND(EB$7=$I22,ISNUMBER($I22)),"◆","")</f>
        <v/>
      </c>
      <c r="EC22" s="57" t="str">
        <f aca="false">IF(AND(EC$7=$I22,ISNUMBER($I22)),"◆","")</f>
        <v/>
      </c>
      <c r="ED22" s="57" t="str">
        <f aca="false">IF(AND(ED$7=$I22,ISNUMBER($I22)),"◆","")</f>
        <v/>
      </c>
      <c r="EE22" s="57" t="str">
        <f aca="false">IF(AND(EE$7=$I22,ISNUMBER($I22)),"◆","")</f>
        <v/>
      </c>
      <c r="EF22" s="57" t="str">
        <f aca="false">IF(AND(EF$7=$I22,ISNUMBER($I22)),"◆","")</f>
        <v/>
      </c>
      <c r="EG22" s="57" t="str">
        <f aca="false">IF(AND(EG$7=$I22,ISNUMBER($I22)),"◆","")</f>
        <v/>
      </c>
      <c r="EH22" s="57" t="str">
        <f aca="false">IF(AND(EH$7=$I22,ISNUMBER($I22)),"◆","")</f>
        <v/>
      </c>
      <c r="EI22" s="57" t="str">
        <f aca="false">IF(AND(EI$7=$I22,ISNUMBER($I22)),"◆","")</f>
        <v/>
      </c>
      <c r="EJ22" s="57" t="str">
        <f aca="false">IF(AND(EJ$7=$I22,ISNUMBER($I22)),"◆","")</f>
        <v/>
      </c>
      <c r="EK22" s="57" t="str">
        <f aca="false">IF(AND(EK$7=$I22,ISNUMBER($I22)),"◆","")</f>
        <v/>
      </c>
      <c r="EL22" s="57" t="str">
        <f aca="false">IF(AND(EL$7=$I22,ISNUMBER($I22)),"◆","")</f>
        <v/>
      </c>
      <c r="EM22" s="57" t="str">
        <f aca="false">IF(AND(EM$7=$I22,ISNUMBER($I22)),"◆","")</f>
        <v/>
      </c>
    </row>
    <row r="23" customFormat="false" ht="25.5" hidden="false" customHeight="true" outlineLevel="0" collapsed="false">
      <c r="A23" s="50" t="str">
        <f aca="false">制作工程表!A19</f>
        <v>T11</v>
      </c>
      <c r="B23" s="51" t="str">
        <f aca="false">制作工程表!B19</f>
        <v>取材撮影</v>
      </c>
      <c r="C23" s="52" t="str">
        <f aca="false">制作工程表!C19</f>
        <v>予備撮影日（雨天の外観・不足カット）</v>
      </c>
      <c r="D23" s="53" t="str">
        <f aca="false">制作工程表!D19</f>
        <v>カメラマン</v>
      </c>
      <c r="E23" s="53" t="str">
        <f aca="false">制作工程表!E19</f>
        <v>総務窓口</v>
      </c>
      <c r="F23" s="54" t="str">
        <f aca="false">IF(制作工程表!B19="取材撮影","撮影",IF(OR(制作工程表!D19="総務窓口",制作工程表!D19="工場長",制作工程表!D19="代表",制作工程表!D19="営業・生産管理"),"企業","制作"))</f>
        <v>撮影</v>
      </c>
      <c r="G23" s="55" t="n">
        <f aca="false">制作工程表!G19</f>
        <v>46393</v>
      </c>
      <c r="H23" s="55" t="n">
        <f aca="false">制作工程表!H19</f>
        <v>46393</v>
      </c>
      <c r="I23" s="56" t="str">
        <f aca="false">制作工程表!I19</f>
        <v>—</v>
      </c>
      <c r="J23" s="51" t="str">
        <f aca="false">制作工程表!K19</f>
        <v>未着手</v>
      </c>
      <c r="K23" s="57" t="str">
        <f aca="false">IF(AND(K$7=$I23,ISNUMBER($I23)),"◆","")</f>
        <v/>
      </c>
      <c r="L23" s="57" t="str">
        <f aca="false">IF(AND(L$7=$I23,ISNUMBER($I23)),"◆","")</f>
        <v/>
      </c>
      <c r="M23" s="57" t="str">
        <f aca="false">IF(AND(M$7=$I23,ISNUMBER($I23)),"◆","")</f>
        <v/>
      </c>
      <c r="N23" s="57" t="str">
        <f aca="false">IF(AND(N$7=$I23,ISNUMBER($I23)),"◆","")</f>
        <v/>
      </c>
      <c r="O23" s="57" t="str">
        <f aca="false">IF(AND(O$7=$I23,ISNUMBER($I23)),"◆","")</f>
        <v/>
      </c>
      <c r="P23" s="57" t="str">
        <f aca="false">IF(AND(P$7=$I23,ISNUMBER($I23)),"◆","")</f>
        <v/>
      </c>
      <c r="Q23" s="57" t="str">
        <f aca="false">IF(AND(Q$7=$I23,ISNUMBER($I23)),"◆","")</f>
        <v/>
      </c>
      <c r="R23" s="57" t="str">
        <f aca="false">IF(AND(R$7=$I23,ISNUMBER($I23)),"◆","")</f>
        <v/>
      </c>
      <c r="S23" s="57" t="str">
        <f aca="false">IF(AND(S$7=$I23,ISNUMBER($I23)),"◆","")</f>
        <v/>
      </c>
      <c r="T23" s="57" t="str">
        <f aca="false">IF(AND(T$7=$I23,ISNUMBER($I23)),"◆","")</f>
        <v/>
      </c>
      <c r="U23" s="57" t="str">
        <f aca="false">IF(AND(U$7=$I23,ISNUMBER($I23)),"◆","")</f>
        <v/>
      </c>
      <c r="V23" s="57" t="str">
        <f aca="false">IF(AND(V$7=$I23,ISNUMBER($I23)),"◆","")</f>
        <v/>
      </c>
      <c r="W23" s="57" t="str">
        <f aca="false">IF(AND(W$7=$I23,ISNUMBER($I23)),"◆","")</f>
        <v/>
      </c>
      <c r="X23" s="57" t="str">
        <f aca="false">IF(AND(X$7=$I23,ISNUMBER($I23)),"◆","")</f>
        <v/>
      </c>
      <c r="Y23" s="57" t="str">
        <f aca="false">IF(AND(Y$7=$I23,ISNUMBER($I23)),"◆","")</f>
        <v/>
      </c>
      <c r="Z23" s="57" t="str">
        <f aca="false">IF(AND(Z$7=$I23,ISNUMBER($I23)),"◆","")</f>
        <v/>
      </c>
      <c r="AA23" s="57" t="str">
        <f aca="false">IF(AND(AA$7=$I23,ISNUMBER($I23)),"◆","")</f>
        <v/>
      </c>
      <c r="AB23" s="57" t="str">
        <f aca="false">IF(AND(AB$7=$I23,ISNUMBER($I23)),"◆","")</f>
        <v/>
      </c>
      <c r="AC23" s="57" t="str">
        <f aca="false">IF(AND(AC$7=$I23,ISNUMBER($I23)),"◆","")</f>
        <v/>
      </c>
      <c r="AD23" s="57" t="str">
        <f aca="false">IF(AND(AD$7=$I23,ISNUMBER($I23)),"◆","")</f>
        <v/>
      </c>
      <c r="AE23" s="57" t="str">
        <f aca="false">IF(AND(AE$7=$I23,ISNUMBER($I23)),"◆","")</f>
        <v/>
      </c>
      <c r="AF23" s="57" t="str">
        <f aca="false">IF(AND(AF$7=$I23,ISNUMBER($I23)),"◆","")</f>
        <v/>
      </c>
      <c r="AG23" s="57" t="str">
        <f aca="false">IF(AND(AG$7=$I23,ISNUMBER($I23)),"◆","")</f>
        <v/>
      </c>
      <c r="AH23" s="57" t="str">
        <f aca="false">IF(AND(AH$7=$I23,ISNUMBER($I23)),"◆","")</f>
        <v/>
      </c>
      <c r="AI23" s="57" t="str">
        <f aca="false">IF(AND(AI$7=$I23,ISNUMBER($I23)),"◆","")</f>
        <v/>
      </c>
      <c r="AJ23" s="57" t="str">
        <f aca="false">IF(AND(AJ$7=$I23,ISNUMBER($I23)),"◆","")</f>
        <v/>
      </c>
      <c r="AK23" s="57" t="str">
        <f aca="false">IF(AND(AK$7=$I23,ISNUMBER($I23)),"◆","")</f>
        <v/>
      </c>
      <c r="AL23" s="57" t="str">
        <f aca="false">IF(AND(AL$7=$I23,ISNUMBER($I23)),"◆","")</f>
        <v/>
      </c>
      <c r="AM23" s="57" t="str">
        <f aca="false">IF(AND(AM$7=$I23,ISNUMBER($I23)),"◆","")</f>
        <v/>
      </c>
      <c r="AN23" s="57" t="str">
        <f aca="false">IF(AND(AN$7=$I23,ISNUMBER($I23)),"◆","")</f>
        <v/>
      </c>
      <c r="AO23" s="57" t="str">
        <f aca="false">IF(AND(AO$7=$I23,ISNUMBER($I23)),"◆","")</f>
        <v/>
      </c>
      <c r="AP23" s="57" t="str">
        <f aca="false">IF(AND(AP$7=$I23,ISNUMBER($I23)),"◆","")</f>
        <v/>
      </c>
      <c r="AQ23" s="57" t="str">
        <f aca="false">IF(AND(AQ$7=$I23,ISNUMBER($I23)),"◆","")</f>
        <v/>
      </c>
      <c r="AR23" s="57" t="str">
        <f aca="false">IF(AND(AR$7=$I23,ISNUMBER($I23)),"◆","")</f>
        <v/>
      </c>
      <c r="AS23" s="57" t="str">
        <f aca="false">IF(AND(AS$7=$I23,ISNUMBER($I23)),"◆","")</f>
        <v/>
      </c>
      <c r="AT23" s="57" t="str">
        <f aca="false">IF(AND(AT$7=$I23,ISNUMBER($I23)),"◆","")</f>
        <v/>
      </c>
      <c r="AU23" s="57" t="str">
        <f aca="false">IF(AND(AU$7=$I23,ISNUMBER($I23)),"◆","")</f>
        <v/>
      </c>
      <c r="AV23" s="57" t="str">
        <f aca="false">IF(AND(AV$7=$I23,ISNUMBER($I23)),"◆","")</f>
        <v/>
      </c>
      <c r="AW23" s="57" t="str">
        <f aca="false">IF(AND(AW$7=$I23,ISNUMBER($I23)),"◆","")</f>
        <v/>
      </c>
      <c r="AX23" s="57" t="str">
        <f aca="false">IF(AND(AX$7=$I23,ISNUMBER($I23)),"◆","")</f>
        <v/>
      </c>
      <c r="AY23" s="57" t="str">
        <f aca="false">IF(AND(AY$7=$I23,ISNUMBER($I23)),"◆","")</f>
        <v/>
      </c>
      <c r="AZ23" s="57" t="str">
        <f aca="false">IF(AND(AZ$7=$I23,ISNUMBER($I23)),"◆","")</f>
        <v/>
      </c>
      <c r="BA23" s="57" t="str">
        <f aca="false">IF(AND(BA$7=$I23,ISNUMBER($I23)),"◆","")</f>
        <v/>
      </c>
      <c r="BB23" s="57" t="str">
        <f aca="false">IF(AND(BB$7=$I23,ISNUMBER($I23)),"◆","")</f>
        <v/>
      </c>
      <c r="BC23" s="57" t="str">
        <f aca="false">IF(AND(BC$7=$I23,ISNUMBER($I23)),"◆","")</f>
        <v/>
      </c>
      <c r="BD23" s="57" t="str">
        <f aca="false">IF(AND(BD$7=$I23,ISNUMBER($I23)),"◆","")</f>
        <v/>
      </c>
      <c r="BE23" s="57" t="str">
        <f aca="false">IF(AND(BE$7=$I23,ISNUMBER($I23)),"◆","")</f>
        <v/>
      </c>
      <c r="BF23" s="57" t="str">
        <f aca="false">IF(AND(BF$7=$I23,ISNUMBER($I23)),"◆","")</f>
        <v/>
      </c>
      <c r="BG23" s="57" t="str">
        <f aca="false">IF(AND(BG$7=$I23,ISNUMBER($I23)),"◆","")</f>
        <v/>
      </c>
      <c r="BH23" s="57" t="str">
        <f aca="false">IF(AND(BH$7=$I23,ISNUMBER($I23)),"◆","")</f>
        <v/>
      </c>
      <c r="BI23" s="57" t="str">
        <f aca="false">IF(AND(BI$7=$I23,ISNUMBER($I23)),"◆","")</f>
        <v/>
      </c>
      <c r="BJ23" s="57" t="str">
        <f aca="false">IF(AND(BJ$7=$I23,ISNUMBER($I23)),"◆","")</f>
        <v/>
      </c>
      <c r="BK23" s="57" t="str">
        <f aca="false">IF(AND(BK$7=$I23,ISNUMBER($I23)),"◆","")</f>
        <v/>
      </c>
      <c r="BL23" s="57" t="str">
        <f aca="false">IF(AND(BL$7=$I23,ISNUMBER($I23)),"◆","")</f>
        <v/>
      </c>
      <c r="BM23" s="57" t="str">
        <f aca="false">IF(AND(BM$7=$I23,ISNUMBER($I23)),"◆","")</f>
        <v/>
      </c>
      <c r="BN23" s="57" t="str">
        <f aca="false">IF(AND(BN$7=$I23,ISNUMBER($I23)),"◆","")</f>
        <v/>
      </c>
      <c r="BO23" s="57" t="str">
        <f aca="false">IF(AND(BO$7=$I23,ISNUMBER($I23)),"◆","")</f>
        <v/>
      </c>
      <c r="BP23" s="57" t="str">
        <f aca="false">IF(AND(BP$7=$I23,ISNUMBER($I23)),"◆","")</f>
        <v/>
      </c>
      <c r="BQ23" s="57" t="str">
        <f aca="false">IF(AND(BQ$7=$I23,ISNUMBER($I23)),"◆","")</f>
        <v/>
      </c>
      <c r="BR23" s="57" t="str">
        <f aca="false">IF(AND(BR$7=$I23,ISNUMBER($I23)),"◆","")</f>
        <v/>
      </c>
      <c r="BS23" s="57" t="str">
        <f aca="false">IF(AND(BS$7=$I23,ISNUMBER($I23)),"◆","")</f>
        <v/>
      </c>
      <c r="BT23" s="57" t="str">
        <f aca="false">IF(AND(BT$7=$I23,ISNUMBER($I23)),"◆","")</f>
        <v/>
      </c>
      <c r="BU23" s="57" t="str">
        <f aca="false">IF(AND(BU$7=$I23,ISNUMBER($I23)),"◆","")</f>
        <v/>
      </c>
      <c r="BV23" s="57" t="str">
        <f aca="false">IF(AND(BV$7=$I23,ISNUMBER($I23)),"◆","")</f>
        <v/>
      </c>
      <c r="BW23" s="57" t="str">
        <f aca="false">IF(AND(BW$7=$I23,ISNUMBER($I23)),"◆","")</f>
        <v/>
      </c>
      <c r="BX23" s="57" t="str">
        <f aca="false">IF(AND(BX$7=$I23,ISNUMBER($I23)),"◆","")</f>
        <v/>
      </c>
      <c r="BY23" s="57" t="str">
        <f aca="false">IF(AND(BY$7=$I23,ISNUMBER($I23)),"◆","")</f>
        <v/>
      </c>
      <c r="BZ23" s="57" t="str">
        <f aca="false">IF(AND(BZ$7=$I23,ISNUMBER($I23)),"◆","")</f>
        <v/>
      </c>
      <c r="CA23" s="57" t="str">
        <f aca="false">IF(AND(CA$7=$I23,ISNUMBER($I23)),"◆","")</f>
        <v/>
      </c>
      <c r="CB23" s="57" t="str">
        <f aca="false">IF(AND(CB$7=$I23,ISNUMBER($I23)),"◆","")</f>
        <v/>
      </c>
      <c r="CC23" s="57" t="str">
        <f aca="false">IF(AND(CC$7=$I23,ISNUMBER($I23)),"◆","")</f>
        <v/>
      </c>
      <c r="CD23" s="57" t="str">
        <f aca="false">IF(AND(CD$7=$I23,ISNUMBER($I23)),"◆","")</f>
        <v/>
      </c>
      <c r="CE23" s="57" t="str">
        <f aca="false">IF(AND(CE$7=$I23,ISNUMBER($I23)),"◆","")</f>
        <v/>
      </c>
      <c r="CF23" s="57" t="str">
        <f aca="false">IF(AND(CF$7=$I23,ISNUMBER($I23)),"◆","")</f>
        <v/>
      </c>
      <c r="CG23" s="57" t="str">
        <f aca="false">IF(AND(CG$7=$I23,ISNUMBER($I23)),"◆","")</f>
        <v/>
      </c>
      <c r="CH23" s="57" t="str">
        <f aca="false">IF(AND(CH$7=$I23,ISNUMBER($I23)),"◆","")</f>
        <v/>
      </c>
      <c r="CI23" s="57" t="str">
        <f aca="false">IF(AND(CI$7=$I23,ISNUMBER($I23)),"◆","")</f>
        <v/>
      </c>
      <c r="CJ23" s="57" t="str">
        <f aca="false">IF(AND(CJ$7=$I23,ISNUMBER($I23)),"◆","")</f>
        <v/>
      </c>
      <c r="CK23" s="57" t="str">
        <f aca="false">IF(AND(CK$7=$I23,ISNUMBER($I23)),"◆","")</f>
        <v/>
      </c>
      <c r="CL23" s="57" t="str">
        <f aca="false">IF(AND(CL$7=$I23,ISNUMBER($I23)),"◆","")</f>
        <v/>
      </c>
      <c r="CM23" s="57" t="str">
        <f aca="false">IF(AND(CM$7=$I23,ISNUMBER($I23)),"◆","")</f>
        <v/>
      </c>
      <c r="CN23" s="57" t="str">
        <f aca="false">IF(AND(CN$7=$I23,ISNUMBER($I23)),"◆","")</f>
        <v/>
      </c>
      <c r="CO23" s="57" t="str">
        <f aca="false">IF(AND(CO$7=$I23,ISNUMBER($I23)),"◆","")</f>
        <v/>
      </c>
      <c r="CP23" s="57" t="str">
        <f aca="false">IF(AND(CP$7=$I23,ISNUMBER($I23)),"◆","")</f>
        <v/>
      </c>
      <c r="CQ23" s="57" t="str">
        <f aca="false">IF(AND(CQ$7=$I23,ISNUMBER($I23)),"◆","")</f>
        <v/>
      </c>
      <c r="CR23" s="57" t="str">
        <f aca="false">IF(AND(CR$7=$I23,ISNUMBER($I23)),"◆","")</f>
        <v/>
      </c>
      <c r="CS23" s="57" t="str">
        <f aca="false">IF(AND(CS$7=$I23,ISNUMBER($I23)),"◆","")</f>
        <v/>
      </c>
      <c r="CT23" s="57" t="str">
        <f aca="false">IF(AND(CT$7=$I23,ISNUMBER($I23)),"◆","")</f>
        <v/>
      </c>
      <c r="CU23" s="57" t="str">
        <f aca="false">IF(AND(CU$7=$I23,ISNUMBER($I23)),"◆","")</f>
        <v/>
      </c>
      <c r="CV23" s="57" t="str">
        <f aca="false">IF(AND(CV$7=$I23,ISNUMBER($I23)),"◆","")</f>
        <v/>
      </c>
      <c r="CW23" s="57" t="str">
        <f aca="false">IF(AND(CW$7=$I23,ISNUMBER($I23)),"◆","")</f>
        <v/>
      </c>
      <c r="CX23" s="57" t="str">
        <f aca="false">IF(AND(CX$7=$I23,ISNUMBER($I23)),"◆","")</f>
        <v/>
      </c>
      <c r="CY23" s="57" t="str">
        <f aca="false">IF(AND(CY$7=$I23,ISNUMBER($I23)),"◆","")</f>
        <v/>
      </c>
      <c r="CZ23" s="57" t="str">
        <f aca="false">IF(AND(CZ$7=$I23,ISNUMBER($I23)),"◆","")</f>
        <v/>
      </c>
      <c r="DA23" s="57" t="str">
        <f aca="false">IF(AND(DA$7=$I23,ISNUMBER($I23)),"◆","")</f>
        <v/>
      </c>
      <c r="DB23" s="57" t="str">
        <f aca="false">IF(AND(DB$7=$I23,ISNUMBER($I23)),"◆","")</f>
        <v/>
      </c>
      <c r="DC23" s="57" t="str">
        <f aca="false">IF(AND(DC$7=$I23,ISNUMBER($I23)),"◆","")</f>
        <v/>
      </c>
      <c r="DD23" s="57" t="str">
        <f aca="false">IF(AND(DD$7=$I23,ISNUMBER($I23)),"◆","")</f>
        <v/>
      </c>
      <c r="DE23" s="57" t="str">
        <f aca="false">IF(AND(DE$7=$I23,ISNUMBER($I23)),"◆","")</f>
        <v/>
      </c>
      <c r="DF23" s="57" t="str">
        <f aca="false">IF(AND(DF$7=$I23,ISNUMBER($I23)),"◆","")</f>
        <v/>
      </c>
      <c r="DG23" s="57" t="str">
        <f aca="false">IF(AND(DG$7=$I23,ISNUMBER($I23)),"◆","")</f>
        <v/>
      </c>
      <c r="DH23" s="57" t="str">
        <f aca="false">IF(AND(DH$7=$I23,ISNUMBER($I23)),"◆","")</f>
        <v/>
      </c>
      <c r="DI23" s="57" t="str">
        <f aca="false">IF(AND(DI$7=$I23,ISNUMBER($I23)),"◆","")</f>
        <v/>
      </c>
      <c r="DJ23" s="57" t="str">
        <f aca="false">IF(AND(DJ$7=$I23,ISNUMBER($I23)),"◆","")</f>
        <v/>
      </c>
      <c r="DK23" s="57" t="str">
        <f aca="false">IF(AND(DK$7=$I23,ISNUMBER($I23)),"◆","")</f>
        <v/>
      </c>
      <c r="DL23" s="57" t="str">
        <f aca="false">IF(AND(DL$7=$I23,ISNUMBER($I23)),"◆","")</f>
        <v/>
      </c>
      <c r="DM23" s="57" t="str">
        <f aca="false">IF(AND(DM$7=$I23,ISNUMBER($I23)),"◆","")</f>
        <v/>
      </c>
      <c r="DN23" s="57" t="str">
        <f aca="false">IF(AND(DN$7=$I23,ISNUMBER($I23)),"◆","")</f>
        <v/>
      </c>
      <c r="DO23" s="57" t="str">
        <f aca="false">IF(AND(DO$7=$I23,ISNUMBER($I23)),"◆","")</f>
        <v/>
      </c>
      <c r="DP23" s="57" t="str">
        <f aca="false">IF(AND(DP$7=$I23,ISNUMBER($I23)),"◆","")</f>
        <v/>
      </c>
      <c r="DQ23" s="57" t="str">
        <f aca="false">IF(AND(DQ$7=$I23,ISNUMBER($I23)),"◆","")</f>
        <v/>
      </c>
      <c r="DR23" s="57" t="str">
        <f aca="false">IF(AND(DR$7=$I23,ISNUMBER($I23)),"◆","")</f>
        <v/>
      </c>
      <c r="DS23" s="57" t="str">
        <f aca="false">IF(AND(DS$7=$I23,ISNUMBER($I23)),"◆","")</f>
        <v/>
      </c>
      <c r="DT23" s="57" t="str">
        <f aca="false">IF(AND(DT$7=$I23,ISNUMBER($I23)),"◆","")</f>
        <v/>
      </c>
      <c r="DU23" s="57" t="str">
        <f aca="false">IF(AND(DU$7=$I23,ISNUMBER($I23)),"◆","")</f>
        <v/>
      </c>
      <c r="DV23" s="57" t="str">
        <f aca="false">IF(AND(DV$7=$I23,ISNUMBER($I23)),"◆","")</f>
        <v/>
      </c>
      <c r="DW23" s="57" t="str">
        <f aca="false">IF(AND(DW$7=$I23,ISNUMBER($I23)),"◆","")</f>
        <v/>
      </c>
      <c r="DX23" s="57" t="str">
        <f aca="false">IF(AND(DX$7=$I23,ISNUMBER($I23)),"◆","")</f>
        <v/>
      </c>
      <c r="DY23" s="57" t="str">
        <f aca="false">IF(AND(DY$7=$I23,ISNUMBER($I23)),"◆","")</f>
        <v/>
      </c>
      <c r="DZ23" s="57" t="str">
        <f aca="false">IF(AND(DZ$7=$I23,ISNUMBER($I23)),"◆","")</f>
        <v/>
      </c>
      <c r="EA23" s="57" t="str">
        <f aca="false">IF(AND(EA$7=$I23,ISNUMBER($I23)),"◆","")</f>
        <v/>
      </c>
      <c r="EB23" s="57" t="str">
        <f aca="false">IF(AND(EB$7=$I23,ISNUMBER($I23)),"◆","")</f>
        <v/>
      </c>
      <c r="EC23" s="57" t="str">
        <f aca="false">IF(AND(EC$7=$I23,ISNUMBER($I23)),"◆","")</f>
        <v/>
      </c>
      <c r="ED23" s="57" t="str">
        <f aca="false">IF(AND(ED$7=$I23,ISNUMBER($I23)),"◆","")</f>
        <v/>
      </c>
      <c r="EE23" s="57" t="str">
        <f aca="false">IF(AND(EE$7=$I23,ISNUMBER($I23)),"◆","")</f>
        <v/>
      </c>
      <c r="EF23" s="57" t="str">
        <f aca="false">IF(AND(EF$7=$I23,ISNUMBER($I23)),"◆","")</f>
        <v/>
      </c>
      <c r="EG23" s="57" t="str">
        <f aca="false">IF(AND(EG$7=$I23,ISNUMBER($I23)),"◆","")</f>
        <v/>
      </c>
      <c r="EH23" s="57" t="str">
        <f aca="false">IF(AND(EH$7=$I23,ISNUMBER($I23)),"◆","")</f>
        <v/>
      </c>
      <c r="EI23" s="57" t="str">
        <f aca="false">IF(AND(EI$7=$I23,ISNUMBER($I23)),"◆","")</f>
        <v/>
      </c>
      <c r="EJ23" s="57" t="str">
        <f aca="false">IF(AND(EJ$7=$I23,ISNUMBER($I23)),"◆","")</f>
        <v/>
      </c>
      <c r="EK23" s="57" t="str">
        <f aca="false">IF(AND(EK$7=$I23,ISNUMBER($I23)),"◆","")</f>
        <v/>
      </c>
      <c r="EL23" s="57" t="str">
        <f aca="false">IF(AND(EL$7=$I23,ISNUMBER($I23)),"◆","")</f>
        <v/>
      </c>
      <c r="EM23" s="57" t="str">
        <f aca="false">IF(AND(EM$7=$I23,ISNUMBER($I23)),"◆","")</f>
        <v/>
      </c>
    </row>
    <row r="24" customFormat="false" ht="21.75" hidden="false" customHeight="true" outlineLevel="0" collapsed="false">
      <c r="A24" s="45" t="s">
        <v>77</v>
      </c>
      <c r="B24" s="45"/>
      <c r="C24" s="45"/>
      <c r="D24" s="45"/>
      <c r="E24" s="45"/>
      <c r="F24" s="46" t="s">
        <v>74</v>
      </c>
      <c r="G24" s="47" t="n">
        <f aca="false">MIN(制作工程表!G20:G23)</f>
        <v>46379</v>
      </c>
      <c r="H24" s="47" t="n">
        <f aca="false">MAX(制作工程表!H20:H23)</f>
        <v>46413</v>
      </c>
      <c r="I24" s="47" t="n">
        <f aca="false">IF(MAX(制作工程表!I20:I23)=0,"—",MAX(制作工程表!I20:I23))</f>
        <v>46408</v>
      </c>
      <c r="J24" s="48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49"/>
      <c r="DI24" s="49"/>
      <c r="DJ24" s="49"/>
      <c r="DK24" s="49"/>
      <c r="DL24" s="49"/>
      <c r="DM24" s="49"/>
      <c r="DN24" s="49"/>
      <c r="DO24" s="49"/>
      <c r="DP24" s="49"/>
      <c r="DQ24" s="49"/>
      <c r="DR24" s="49"/>
      <c r="DS24" s="49"/>
      <c r="DT24" s="49"/>
      <c r="DU24" s="49"/>
      <c r="DV24" s="49"/>
      <c r="DW24" s="49"/>
      <c r="DX24" s="49"/>
      <c r="DY24" s="49"/>
      <c r="DZ24" s="49"/>
      <c r="EA24" s="49"/>
      <c r="EB24" s="49"/>
      <c r="EC24" s="49"/>
      <c r="ED24" s="49"/>
      <c r="EE24" s="49"/>
      <c r="EF24" s="49"/>
      <c r="EG24" s="49"/>
      <c r="EH24" s="49"/>
      <c r="EI24" s="49"/>
      <c r="EJ24" s="49"/>
      <c r="EK24" s="49"/>
      <c r="EL24" s="49"/>
      <c r="EM24" s="49"/>
    </row>
    <row r="25" customFormat="false" ht="25.5" hidden="false" customHeight="true" outlineLevel="0" collapsed="false">
      <c r="A25" s="50" t="str">
        <f aca="false">制作工程表!A20</f>
        <v>T12</v>
      </c>
      <c r="B25" s="51" t="str">
        <f aca="false">制作工程表!B20</f>
        <v>素材整理</v>
      </c>
      <c r="C25" s="52" t="str">
        <f aca="false">制作工程表!C20</f>
        <v>写真選定・レタッチ・映り込み確認</v>
      </c>
      <c r="D25" s="53" t="str">
        <f aca="false">制作工程表!D20</f>
        <v>カメラマン</v>
      </c>
      <c r="E25" s="53" t="str">
        <f aca="false">制作工程表!E20</f>
        <v>—</v>
      </c>
      <c r="F25" s="54" t="str">
        <f aca="false">IF(制作工程表!B20="取材撮影","撮影",IF(OR(制作工程表!D20="総務窓口",制作工程表!D20="工場長",制作工程表!D20="代表",制作工程表!D20="営業・生産管理"),"企業","制作"))</f>
        <v>制作</v>
      </c>
      <c r="G25" s="55" t="n">
        <f aca="false">制作工程表!G20</f>
        <v>46379</v>
      </c>
      <c r="H25" s="55" t="n">
        <f aca="false">制作工程表!H20</f>
        <v>46394</v>
      </c>
      <c r="I25" s="56" t="str">
        <f aca="false">制作工程表!I20</f>
        <v>—</v>
      </c>
      <c r="J25" s="51" t="str">
        <f aca="false">制作工程表!K20</f>
        <v>未着手</v>
      </c>
      <c r="K25" s="57" t="str">
        <f aca="false">IF(AND(K$7=$I25,ISNUMBER($I25)),"◆","")</f>
        <v/>
      </c>
      <c r="L25" s="57" t="str">
        <f aca="false">IF(AND(L$7=$I25,ISNUMBER($I25)),"◆","")</f>
        <v/>
      </c>
      <c r="M25" s="57" t="str">
        <f aca="false">IF(AND(M$7=$I25,ISNUMBER($I25)),"◆","")</f>
        <v/>
      </c>
      <c r="N25" s="57" t="str">
        <f aca="false">IF(AND(N$7=$I25,ISNUMBER($I25)),"◆","")</f>
        <v/>
      </c>
      <c r="O25" s="57" t="str">
        <f aca="false">IF(AND(O$7=$I25,ISNUMBER($I25)),"◆","")</f>
        <v/>
      </c>
      <c r="P25" s="57" t="str">
        <f aca="false">IF(AND(P$7=$I25,ISNUMBER($I25)),"◆","")</f>
        <v/>
      </c>
      <c r="Q25" s="57" t="str">
        <f aca="false">IF(AND(Q$7=$I25,ISNUMBER($I25)),"◆","")</f>
        <v/>
      </c>
      <c r="R25" s="57" t="str">
        <f aca="false">IF(AND(R$7=$I25,ISNUMBER($I25)),"◆","")</f>
        <v/>
      </c>
      <c r="S25" s="57" t="str">
        <f aca="false">IF(AND(S$7=$I25,ISNUMBER($I25)),"◆","")</f>
        <v/>
      </c>
      <c r="T25" s="57" t="str">
        <f aca="false">IF(AND(T$7=$I25,ISNUMBER($I25)),"◆","")</f>
        <v/>
      </c>
      <c r="U25" s="57" t="str">
        <f aca="false">IF(AND(U$7=$I25,ISNUMBER($I25)),"◆","")</f>
        <v/>
      </c>
      <c r="V25" s="57" t="str">
        <f aca="false">IF(AND(V$7=$I25,ISNUMBER($I25)),"◆","")</f>
        <v/>
      </c>
      <c r="W25" s="57" t="str">
        <f aca="false">IF(AND(W$7=$I25,ISNUMBER($I25)),"◆","")</f>
        <v/>
      </c>
      <c r="X25" s="57" t="str">
        <f aca="false">IF(AND(X$7=$I25,ISNUMBER($I25)),"◆","")</f>
        <v/>
      </c>
      <c r="Y25" s="57" t="str">
        <f aca="false">IF(AND(Y$7=$I25,ISNUMBER($I25)),"◆","")</f>
        <v/>
      </c>
      <c r="Z25" s="57" t="str">
        <f aca="false">IF(AND(Z$7=$I25,ISNUMBER($I25)),"◆","")</f>
        <v/>
      </c>
      <c r="AA25" s="57" t="str">
        <f aca="false">IF(AND(AA$7=$I25,ISNUMBER($I25)),"◆","")</f>
        <v/>
      </c>
      <c r="AB25" s="57" t="str">
        <f aca="false">IF(AND(AB$7=$I25,ISNUMBER($I25)),"◆","")</f>
        <v/>
      </c>
      <c r="AC25" s="57" t="str">
        <f aca="false">IF(AND(AC$7=$I25,ISNUMBER($I25)),"◆","")</f>
        <v/>
      </c>
      <c r="AD25" s="57" t="str">
        <f aca="false">IF(AND(AD$7=$I25,ISNUMBER($I25)),"◆","")</f>
        <v/>
      </c>
      <c r="AE25" s="57" t="str">
        <f aca="false">IF(AND(AE$7=$I25,ISNUMBER($I25)),"◆","")</f>
        <v/>
      </c>
      <c r="AF25" s="57" t="str">
        <f aca="false">IF(AND(AF$7=$I25,ISNUMBER($I25)),"◆","")</f>
        <v/>
      </c>
      <c r="AG25" s="57" t="str">
        <f aca="false">IF(AND(AG$7=$I25,ISNUMBER($I25)),"◆","")</f>
        <v/>
      </c>
      <c r="AH25" s="57" t="str">
        <f aca="false">IF(AND(AH$7=$I25,ISNUMBER($I25)),"◆","")</f>
        <v/>
      </c>
      <c r="AI25" s="57" t="str">
        <f aca="false">IF(AND(AI$7=$I25,ISNUMBER($I25)),"◆","")</f>
        <v/>
      </c>
      <c r="AJ25" s="57" t="str">
        <f aca="false">IF(AND(AJ$7=$I25,ISNUMBER($I25)),"◆","")</f>
        <v/>
      </c>
      <c r="AK25" s="57" t="str">
        <f aca="false">IF(AND(AK$7=$I25,ISNUMBER($I25)),"◆","")</f>
        <v/>
      </c>
      <c r="AL25" s="57" t="str">
        <f aca="false">IF(AND(AL$7=$I25,ISNUMBER($I25)),"◆","")</f>
        <v/>
      </c>
      <c r="AM25" s="57" t="str">
        <f aca="false">IF(AND(AM$7=$I25,ISNUMBER($I25)),"◆","")</f>
        <v/>
      </c>
      <c r="AN25" s="57" t="str">
        <f aca="false">IF(AND(AN$7=$I25,ISNUMBER($I25)),"◆","")</f>
        <v/>
      </c>
      <c r="AO25" s="57" t="str">
        <f aca="false">IF(AND(AO$7=$I25,ISNUMBER($I25)),"◆","")</f>
        <v/>
      </c>
      <c r="AP25" s="57" t="str">
        <f aca="false">IF(AND(AP$7=$I25,ISNUMBER($I25)),"◆","")</f>
        <v/>
      </c>
      <c r="AQ25" s="57" t="str">
        <f aca="false">IF(AND(AQ$7=$I25,ISNUMBER($I25)),"◆","")</f>
        <v/>
      </c>
      <c r="AR25" s="57" t="str">
        <f aca="false">IF(AND(AR$7=$I25,ISNUMBER($I25)),"◆","")</f>
        <v/>
      </c>
      <c r="AS25" s="57" t="str">
        <f aca="false">IF(AND(AS$7=$I25,ISNUMBER($I25)),"◆","")</f>
        <v/>
      </c>
      <c r="AT25" s="57" t="str">
        <f aca="false">IF(AND(AT$7=$I25,ISNUMBER($I25)),"◆","")</f>
        <v/>
      </c>
      <c r="AU25" s="57" t="str">
        <f aca="false">IF(AND(AU$7=$I25,ISNUMBER($I25)),"◆","")</f>
        <v/>
      </c>
      <c r="AV25" s="57" t="str">
        <f aca="false">IF(AND(AV$7=$I25,ISNUMBER($I25)),"◆","")</f>
        <v/>
      </c>
      <c r="AW25" s="57" t="str">
        <f aca="false">IF(AND(AW$7=$I25,ISNUMBER($I25)),"◆","")</f>
        <v/>
      </c>
      <c r="AX25" s="57" t="str">
        <f aca="false">IF(AND(AX$7=$I25,ISNUMBER($I25)),"◆","")</f>
        <v/>
      </c>
      <c r="AY25" s="57" t="str">
        <f aca="false">IF(AND(AY$7=$I25,ISNUMBER($I25)),"◆","")</f>
        <v/>
      </c>
      <c r="AZ25" s="57" t="str">
        <f aca="false">IF(AND(AZ$7=$I25,ISNUMBER($I25)),"◆","")</f>
        <v/>
      </c>
      <c r="BA25" s="57" t="str">
        <f aca="false">IF(AND(BA$7=$I25,ISNUMBER($I25)),"◆","")</f>
        <v/>
      </c>
      <c r="BB25" s="57" t="str">
        <f aca="false">IF(AND(BB$7=$I25,ISNUMBER($I25)),"◆","")</f>
        <v/>
      </c>
      <c r="BC25" s="57" t="str">
        <f aca="false">IF(AND(BC$7=$I25,ISNUMBER($I25)),"◆","")</f>
        <v/>
      </c>
      <c r="BD25" s="57" t="str">
        <f aca="false">IF(AND(BD$7=$I25,ISNUMBER($I25)),"◆","")</f>
        <v/>
      </c>
      <c r="BE25" s="57" t="str">
        <f aca="false">IF(AND(BE$7=$I25,ISNUMBER($I25)),"◆","")</f>
        <v/>
      </c>
      <c r="BF25" s="57" t="str">
        <f aca="false">IF(AND(BF$7=$I25,ISNUMBER($I25)),"◆","")</f>
        <v/>
      </c>
      <c r="BG25" s="57" t="str">
        <f aca="false">IF(AND(BG$7=$I25,ISNUMBER($I25)),"◆","")</f>
        <v/>
      </c>
      <c r="BH25" s="57" t="str">
        <f aca="false">IF(AND(BH$7=$I25,ISNUMBER($I25)),"◆","")</f>
        <v/>
      </c>
      <c r="BI25" s="57" t="str">
        <f aca="false">IF(AND(BI$7=$I25,ISNUMBER($I25)),"◆","")</f>
        <v/>
      </c>
      <c r="BJ25" s="57" t="str">
        <f aca="false">IF(AND(BJ$7=$I25,ISNUMBER($I25)),"◆","")</f>
        <v/>
      </c>
      <c r="BK25" s="57" t="str">
        <f aca="false">IF(AND(BK$7=$I25,ISNUMBER($I25)),"◆","")</f>
        <v/>
      </c>
      <c r="BL25" s="57" t="str">
        <f aca="false">IF(AND(BL$7=$I25,ISNUMBER($I25)),"◆","")</f>
        <v/>
      </c>
      <c r="BM25" s="57" t="str">
        <f aca="false">IF(AND(BM$7=$I25,ISNUMBER($I25)),"◆","")</f>
        <v/>
      </c>
      <c r="BN25" s="57" t="str">
        <f aca="false">IF(AND(BN$7=$I25,ISNUMBER($I25)),"◆","")</f>
        <v/>
      </c>
      <c r="BO25" s="57" t="str">
        <f aca="false">IF(AND(BO$7=$I25,ISNUMBER($I25)),"◆","")</f>
        <v/>
      </c>
      <c r="BP25" s="57" t="str">
        <f aca="false">IF(AND(BP$7=$I25,ISNUMBER($I25)),"◆","")</f>
        <v/>
      </c>
      <c r="BQ25" s="57" t="str">
        <f aca="false">IF(AND(BQ$7=$I25,ISNUMBER($I25)),"◆","")</f>
        <v/>
      </c>
      <c r="BR25" s="57" t="str">
        <f aca="false">IF(AND(BR$7=$I25,ISNUMBER($I25)),"◆","")</f>
        <v/>
      </c>
      <c r="BS25" s="57" t="str">
        <f aca="false">IF(AND(BS$7=$I25,ISNUMBER($I25)),"◆","")</f>
        <v/>
      </c>
      <c r="BT25" s="57" t="str">
        <f aca="false">IF(AND(BT$7=$I25,ISNUMBER($I25)),"◆","")</f>
        <v/>
      </c>
      <c r="BU25" s="57" t="str">
        <f aca="false">IF(AND(BU$7=$I25,ISNUMBER($I25)),"◆","")</f>
        <v/>
      </c>
      <c r="BV25" s="57" t="str">
        <f aca="false">IF(AND(BV$7=$I25,ISNUMBER($I25)),"◆","")</f>
        <v/>
      </c>
      <c r="BW25" s="57" t="str">
        <f aca="false">IF(AND(BW$7=$I25,ISNUMBER($I25)),"◆","")</f>
        <v/>
      </c>
      <c r="BX25" s="57" t="str">
        <f aca="false">IF(AND(BX$7=$I25,ISNUMBER($I25)),"◆","")</f>
        <v/>
      </c>
      <c r="BY25" s="57" t="str">
        <f aca="false">IF(AND(BY$7=$I25,ISNUMBER($I25)),"◆","")</f>
        <v/>
      </c>
      <c r="BZ25" s="57" t="str">
        <f aca="false">IF(AND(BZ$7=$I25,ISNUMBER($I25)),"◆","")</f>
        <v/>
      </c>
      <c r="CA25" s="57" t="str">
        <f aca="false">IF(AND(CA$7=$I25,ISNUMBER($I25)),"◆","")</f>
        <v/>
      </c>
      <c r="CB25" s="57" t="str">
        <f aca="false">IF(AND(CB$7=$I25,ISNUMBER($I25)),"◆","")</f>
        <v/>
      </c>
      <c r="CC25" s="57" t="str">
        <f aca="false">IF(AND(CC$7=$I25,ISNUMBER($I25)),"◆","")</f>
        <v/>
      </c>
      <c r="CD25" s="57" t="str">
        <f aca="false">IF(AND(CD$7=$I25,ISNUMBER($I25)),"◆","")</f>
        <v/>
      </c>
      <c r="CE25" s="57" t="str">
        <f aca="false">IF(AND(CE$7=$I25,ISNUMBER($I25)),"◆","")</f>
        <v/>
      </c>
      <c r="CF25" s="57" t="str">
        <f aca="false">IF(AND(CF$7=$I25,ISNUMBER($I25)),"◆","")</f>
        <v/>
      </c>
      <c r="CG25" s="57" t="str">
        <f aca="false">IF(AND(CG$7=$I25,ISNUMBER($I25)),"◆","")</f>
        <v/>
      </c>
      <c r="CH25" s="57" t="str">
        <f aca="false">IF(AND(CH$7=$I25,ISNUMBER($I25)),"◆","")</f>
        <v/>
      </c>
      <c r="CI25" s="57" t="str">
        <f aca="false">IF(AND(CI$7=$I25,ISNUMBER($I25)),"◆","")</f>
        <v/>
      </c>
      <c r="CJ25" s="57" t="str">
        <f aca="false">IF(AND(CJ$7=$I25,ISNUMBER($I25)),"◆","")</f>
        <v/>
      </c>
      <c r="CK25" s="57" t="str">
        <f aca="false">IF(AND(CK$7=$I25,ISNUMBER($I25)),"◆","")</f>
        <v/>
      </c>
      <c r="CL25" s="57" t="str">
        <f aca="false">IF(AND(CL$7=$I25,ISNUMBER($I25)),"◆","")</f>
        <v/>
      </c>
      <c r="CM25" s="57" t="str">
        <f aca="false">IF(AND(CM$7=$I25,ISNUMBER($I25)),"◆","")</f>
        <v/>
      </c>
      <c r="CN25" s="57" t="str">
        <f aca="false">IF(AND(CN$7=$I25,ISNUMBER($I25)),"◆","")</f>
        <v/>
      </c>
      <c r="CO25" s="57" t="str">
        <f aca="false">IF(AND(CO$7=$I25,ISNUMBER($I25)),"◆","")</f>
        <v/>
      </c>
      <c r="CP25" s="57" t="str">
        <f aca="false">IF(AND(CP$7=$I25,ISNUMBER($I25)),"◆","")</f>
        <v/>
      </c>
      <c r="CQ25" s="57" t="str">
        <f aca="false">IF(AND(CQ$7=$I25,ISNUMBER($I25)),"◆","")</f>
        <v/>
      </c>
      <c r="CR25" s="57" t="str">
        <f aca="false">IF(AND(CR$7=$I25,ISNUMBER($I25)),"◆","")</f>
        <v/>
      </c>
      <c r="CS25" s="57" t="str">
        <f aca="false">IF(AND(CS$7=$I25,ISNUMBER($I25)),"◆","")</f>
        <v/>
      </c>
      <c r="CT25" s="57" t="str">
        <f aca="false">IF(AND(CT$7=$I25,ISNUMBER($I25)),"◆","")</f>
        <v/>
      </c>
      <c r="CU25" s="57" t="str">
        <f aca="false">IF(AND(CU$7=$I25,ISNUMBER($I25)),"◆","")</f>
        <v/>
      </c>
      <c r="CV25" s="57" t="str">
        <f aca="false">IF(AND(CV$7=$I25,ISNUMBER($I25)),"◆","")</f>
        <v/>
      </c>
      <c r="CW25" s="57" t="str">
        <f aca="false">IF(AND(CW$7=$I25,ISNUMBER($I25)),"◆","")</f>
        <v/>
      </c>
      <c r="CX25" s="57" t="str">
        <f aca="false">IF(AND(CX$7=$I25,ISNUMBER($I25)),"◆","")</f>
        <v/>
      </c>
      <c r="CY25" s="57" t="str">
        <f aca="false">IF(AND(CY$7=$I25,ISNUMBER($I25)),"◆","")</f>
        <v/>
      </c>
      <c r="CZ25" s="57" t="str">
        <f aca="false">IF(AND(CZ$7=$I25,ISNUMBER($I25)),"◆","")</f>
        <v/>
      </c>
      <c r="DA25" s="57" t="str">
        <f aca="false">IF(AND(DA$7=$I25,ISNUMBER($I25)),"◆","")</f>
        <v/>
      </c>
      <c r="DB25" s="57" t="str">
        <f aca="false">IF(AND(DB$7=$I25,ISNUMBER($I25)),"◆","")</f>
        <v/>
      </c>
      <c r="DC25" s="57" t="str">
        <f aca="false">IF(AND(DC$7=$I25,ISNUMBER($I25)),"◆","")</f>
        <v/>
      </c>
      <c r="DD25" s="57" t="str">
        <f aca="false">IF(AND(DD$7=$I25,ISNUMBER($I25)),"◆","")</f>
        <v/>
      </c>
      <c r="DE25" s="57" t="str">
        <f aca="false">IF(AND(DE$7=$I25,ISNUMBER($I25)),"◆","")</f>
        <v/>
      </c>
      <c r="DF25" s="57" t="str">
        <f aca="false">IF(AND(DF$7=$I25,ISNUMBER($I25)),"◆","")</f>
        <v/>
      </c>
      <c r="DG25" s="57" t="str">
        <f aca="false">IF(AND(DG$7=$I25,ISNUMBER($I25)),"◆","")</f>
        <v/>
      </c>
      <c r="DH25" s="57" t="str">
        <f aca="false">IF(AND(DH$7=$I25,ISNUMBER($I25)),"◆","")</f>
        <v/>
      </c>
      <c r="DI25" s="57" t="str">
        <f aca="false">IF(AND(DI$7=$I25,ISNUMBER($I25)),"◆","")</f>
        <v/>
      </c>
      <c r="DJ25" s="57" t="str">
        <f aca="false">IF(AND(DJ$7=$I25,ISNUMBER($I25)),"◆","")</f>
        <v/>
      </c>
      <c r="DK25" s="57" t="str">
        <f aca="false">IF(AND(DK$7=$I25,ISNUMBER($I25)),"◆","")</f>
        <v/>
      </c>
      <c r="DL25" s="57" t="str">
        <f aca="false">IF(AND(DL$7=$I25,ISNUMBER($I25)),"◆","")</f>
        <v/>
      </c>
      <c r="DM25" s="57" t="str">
        <f aca="false">IF(AND(DM$7=$I25,ISNUMBER($I25)),"◆","")</f>
        <v/>
      </c>
      <c r="DN25" s="57" t="str">
        <f aca="false">IF(AND(DN$7=$I25,ISNUMBER($I25)),"◆","")</f>
        <v/>
      </c>
      <c r="DO25" s="57" t="str">
        <f aca="false">IF(AND(DO$7=$I25,ISNUMBER($I25)),"◆","")</f>
        <v/>
      </c>
      <c r="DP25" s="57" t="str">
        <f aca="false">IF(AND(DP$7=$I25,ISNUMBER($I25)),"◆","")</f>
        <v/>
      </c>
      <c r="DQ25" s="57" t="str">
        <f aca="false">IF(AND(DQ$7=$I25,ISNUMBER($I25)),"◆","")</f>
        <v/>
      </c>
      <c r="DR25" s="57" t="str">
        <f aca="false">IF(AND(DR$7=$I25,ISNUMBER($I25)),"◆","")</f>
        <v/>
      </c>
      <c r="DS25" s="57" t="str">
        <f aca="false">IF(AND(DS$7=$I25,ISNUMBER($I25)),"◆","")</f>
        <v/>
      </c>
      <c r="DT25" s="57" t="str">
        <f aca="false">IF(AND(DT$7=$I25,ISNUMBER($I25)),"◆","")</f>
        <v/>
      </c>
      <c r="DU25" s="57" t="str">
        <f aca="false">IF(AND(DU$7=$I25,ISNUMBER($I25)),"◆","")</f>
        <v/>
      </c>
      <c r="DV25" s="57" t="str">
        <f aca="false">IF(AND(DV$7=$I25,ISNUMBER($I25)),"◆","")</f>
        <v/>
      </c>
      <c r="DW25" s="57" t="str">
        <f aca="false">IF(AND(DW$7=$I25,ISNUMBER($I25)),"◆","")</f>
        <v/>
      </c>
      <c r="DX25" s="57" t="str">
        <f aca="false">IF(AND(DX$7=$I25,ISNUMBER($I25)),"◆","")</f>
        <v/>
      </c>
      <c r="DY25" s="57" t="str">
        <f aca="false">IF(AND(DY$7=$I25,ISNUMBER($I25)),"◆","")</f>
        <v/>
      </c>
      <c r="DZ25" s="57" t="str">
        <f aca="false">IF(AND(DZ$7=$I25,ISNUMBER($I25)),"◆","")</f>
        <v/>
      </c>
      <c r="EA25" s="57" t="str">
        <f aca="false">IF(AND(EA$7=$I25,ISNUMBER($I25)),"◆","")</f>
        <v/>
      </c>
      <c r="EB25" s="57" t="str">
        <f aca="false">IF(AND(EB$7=$I25,ISNUMBER($I25)),"◆","")</f>
        <v/>
      </c>
      <c r="EC25" s="57" t="str">
        <f aca="false">IF(AND(EC$7=$I25,ISNUMBER($I25)),"◆","")</f>
        <v/>
      </c>
      <c r="ED25" s="57" t="str">
        <f aca="false">IF(AND(ED$7=$I25,ISNUMBER($I25)),"◆","")</f>
        <v/>
      </c>
      <c r="EE25" s="57" t="str">
        <f aca="false">IF(AND(EE$7=$I25,ISNUMBER($I25)),"◆","")</f>
        <v/>
      </c>
      <c r="EF25" s="57" t="str">
        <f aca="false">IF(AND(EF$7=$I25,ISNUMBER($I25)),"◆","")</f>
        <v/>
      </c>
      <c r="EG25" s="57" t="str">
        <f aca="false">IF(AND(EG$7=$I25,ISNUMBER($I25)),"◆","")</f>
        <v/>
      </c>
      <c r="EH25" s="57" t="str">
        <f aca="false">IF(AND(EH$7=$I25,ISNUMBER($I25)),"◆","")</f>
        <v/>
      </c>
      <c r="EI25" s="57" t="str">
        <f aca="false">IF(AND(EI$7=$I25,ISNUMBER($I25)),"◆","")</f>
        <v/>
      </c>
      <c r="EJ25" s="57" t="str">
        <f aca="false">IF(AND(EJ$7=$I25,ISNUMBER($I25)),"◆","")</f>
        <v/>
      </c>
      <c r="EK25" s="57" t="str">
        <f aca="false">IF(AND(EK$7=$I25,ISNUMBER($I25)),"◆","")</f>
        <v/>
      </c>
      <c r="EL25" s="57" t="str">
        <f aca="false">IF(AND(EL$7=$I25,ISNUMBER($I25)),"◆","")</f>
        <v/>
      </c>
      <c r="EM25" s="57" t="str">
        <f aca="false">IF(AND(EM$7=$I25,ISNUMBER($I25)),"◆","")</f>
        <v/>
      </c>
    </row>
    <row r="26" customFormat="false" ht="25.5" hidden="false" customHeight="true" outlineLevel="0" collapsed="false">
      <c r="A26" s="50" t="str">
        <f aca="false">制作工程表!A21</f>
        <v>T13</v>
      </c>
      <c r="B26" s="51" t="str">
        <f aca="false">制作工程表!B21</f>
        <v>執筆</v>
      </c>
      <c r="C26" s="52" t="str">
        <f aca="false">制作工程表!C21</f>
        <v>全7ページの原稿作成</v>
      </c>
      <c r="D26" s="53" t="str">
        <f aca="false">制作工程表!D21</f>
        <v>ライター</v>
      </c>
      <c r="E26" s="53" t="str">
        <f aca="false">制作工程表!E21</f>
        <v>—</v>
      </c>
      <c r="F26" s="54" t="str">
        <f aca="false">IF(制作工程表!B21="取材撮影","撮影",IF(OR(制作工程表!D21="総務窓口",制作工程表!D21="工場長",制作工程表!D21="代表",制作工程表!D21="営業・生産管理"),"企業","制作"))</f>
        <v>制作</v>
      </c>
      <c r="G26" s="55" t="n">
        <f aca="false">制作工程表!G21</f>
        <v>46379</v>
      </c>
      <c r="H26" s="55" t="n">
        <f aca="false">制作工程表!H21</f>
        <v>46399</v>
      </c>
      <c r="I26" s="56" t="str">
        <f aca="false">制作工程表!I21</f>
        <v>—</v>
      </c>
      <c r="J26" s="51" t="str">
        <f aca="false">制作工程表!K21</f>
        <v>未着手</v>
      </c>
      <c r="K26" s="57" t="str">
        <f aca="false">IF(AND(K$7=$I26,ISNUMBER($I26)),"◆","")</f>
        <v/>
      </c>
      <c r="L26" s="57" t="str">
        <f aca="false">IF(AND(L$7=$I26,ISNUMBER($I26)),"◆","")</f>
        <v/>
      </c>
      <c r="M26" s="57" t="str">
        <f aca="false">IF(AND(M$7=$I26,ISNUMBER($I26)),"◆","")</f>
        <v/>
      </c>
      <c r="N26" s="57" t="str">
        <f aca="false">IF(AND(N$7=$I26,ISNUMBER($I26)),"◆","")</f>
        <v/>
      </c>
      <c r="O26" s="57" t="str">
        <f aca="false">IF(AND(O$7=$I26,ISNUMBER($I26)),"◆","")</f>
        <v/>
      </c>
      <c r="P26" s="57" t="str">
        <f aca="false">IF(AND(P$7=$I26,ISNUMBER($I26)),"◆","")</f>
        <v/>
      </c>
      <c r="Q26" s="57" t="str">
        <f aca="false">IF(AND(Q$7=$I26,ISNUMBER($I26)),"◆","")</f>
        <v/>
      </c>
      <c r="R26" s="57" t="str">
        <f aca="false">IF(AND(R$7=$I26,ISNUMBER($I26)),"◆","")</f>
        <v/>
      </c>
      <c r="S26" s="57" t="str">
        <f aca="false">IF(AND(S$7=$I26,ISNUMBER($I26)),"◆","")</f>
        <v/>
      </c>
      <c r="T26" s="57" t="str">
        <f aca="false">IF(AND(T$7=$I26,ISNUMBER($I26)),"◆","")</f>
        <v/>
      </c>
      <c r="U26" s="57" t="str">
        <f aca="false">IF(AND(U$7=$I26,ISNUMBER($I26)),"◆","")</f>
        <v/>
      </c>
      <c r="V26" s="57" t="str">
        <f aca="false">IF(AND(V$7=$I26,ISNUMBER($I26)),"◆","")</f>
        <v/>
      </c>
      <c r="W26" s="57" t="str">
        <f aca="false">IF(AND(W$7=$I26,ISNUMBER($I26)),"◆","")</f>
        <v/>
      </c>
      <c r="X26" s="57" t="str">
        <f aca="false">IF(AND(X$7=$I26,ISNUMBER($I26)),"◆","")</f>
        <v/>
      </c>
      <c r="Y26" s="57" t="str">
        <f aca="false">IF(AND(Y$7=$I26,ISNUMBER($I26)),"◆","")</f>
        <v/>
      </c>
      <c r="Z26" s="57" t="str">
        <f aca="false">IF(AND(Z$7=$I26,ISNUMBER($I26)),"◆","")</f>
        <v/>
      </c>
      <c r="AA26" s="57" t="str">
        <f aca="false">IF(AND(AA$7=$I26,ISNUMBER($I26)),"◆","")</f>
        <v/>
      </c>
      <c r="AB26" s="57" t="str">
        <f aca="false">IF(AND(AB$7=$I26,ISNUMBER($I26)),"◆","")</f>
        <v/>
      </c>
      <c r="AC26" s="57" t="str">
        <f aca="false">IF(AND(AC$7=$I26,ISNUMBER($I26)),"◆","")</f>
        <v/>
      </c>
      <c r="AD26" s="57" t="str">
        <f aca="false">IF(AND(AD$7=$I26,ISNUMBER($I26)),"◆","")</f>
        <v/>
      </c>
      <c r="AE26" s="57" t="str">
        <f aca="false">IF(AND(AE$7=$I26,ISNUMBER($I26)),"◆","")</f>
        <v/>
      </c>
      <c r="AF26" s="57" t="str">
        <f aca="false">IF(AND(AF$7=$I26,ISNUMBER($I26)),"◆","")</f>
        <v/>
      </c>
      <c r="AG26" s="57" t="str">
        <f aca="false">IF(AND(AG$7=$I26,ISNUMBER($I26)),"◆","")</f>
        <v/>
      </c>
      <c r="AH26" s="57" t="str">
        <f aca="false">IF(AND(AH$7=$I26,ISNUMBER($I26)),"◆","")</f>
        <v/>
      </c>
      <c r="AI26" s="57" t="str">
        <f aca="false">IF(AND(AI$7=$I26,ISNUMBER($I26)),"◆","")</f>
        <v/>
      </c>
      <c r="AJ26" s="57" t="str">
        <f aca="false">IF(AND(AJ$7=$I26,ISNUMBER($I26)),"◆","")</f>
        <v/>
      </c>
      <c r="AK26" s="57" t="str">
        <f aca="false">IF(AND(AK$7=$I26,ISNUMBER($I26)),"◆","")</f>
        <v/>
      </c>
      <c r="AL26" s="57" t="str">
        <f aca="false">IF(AND(AL$7=$I26,ISNUMBER($I26)),"◆","")</f>
        <v/>
      </c>
      <c r="AM26" s="57" t="str">
        <f aca="false">IF(AND(AM$7=$I26,ISNUMBER($I26)),"◆","")</f>
        <v/>
      </c>
      <c r="AN26" s="57" t="str">
        <f aca="false">IF(AND(AN$7=$I26,ISNUMBER($I26)),"◆","")</f>
        <v/>
      </c>
      <c r="AO26" s="57" t="str">
        <f aca="false">IF(AND(AO$7=$I26,ISNUMBER($I26)),"◆","")</f>
        <v/>
      </c>
      <c r="AP26" s="57" t="str">
        <f aca="false">IF(AND(AP$7=$I26,ISNUMBER($I26)),"◆","")</f>
        <v/>
      </c>
      <c r="AQ26" s="57" t="str">
        <f aca="false">IF(AND(AQ$7=$I26,ISNUMBER($I26)),"◆","")</f>
        <v/>
      </c>
      <c r="AR26" s="57" t="str">
        <f aca="false">IF(AND(AR$7=$I26,ISNUMBER($I26)),"◆","")</f>
        <v/>
      </c>
      <c r="AS26" s="57" t="str">
        <f aca="false">IF(AND(AS$7=$I26,ISNUMBER($I26)),"◆","")</f>
        <v/>
      </c>
      <c r="AT26" s="57" t="str">
        <f aca="false">IF(AND(AT$7=$I26,ISNUMBER($I26)),"◆","")</f>
        <v/>
      </c>
      <c r="AU26" s="57" t="str">
        <f aca="false">IF(AND(AU$7=$I26,ISNUMBER($I26)),"◆","")</f>
        <v/>
      </c>
      <c r="AV26" s="57" t="str">
        <f aca="false">IF(AND(AV$7=$I26,ISNUMBER($I26)),"◆","")</f>
        <v/>
      </c>
      <c r="AW26" s="57" t="str">
        <f aca="false">IF(AND(AW$7=$I26,ISNUMBER($I26)),"◆","")</f>
        <v/>
      </c>
      <c r="AX26" s="57" t="str">
        <f aca="false">IF(AND(AX$7=$I26,ISNUMBER($I26)),"◆","")</f>
        <v/>
      </c>
      <c r="AY26" s="57" t="str">
        <f aca="false">IF(AND(AY$7=$I26,ISNUMBER($I26)),"◆","")</f>
        <v/>
      </c>
      <c r="AZ26" s="57" t="str">
        <f aca="false">IF(AND(AZ$7=$I26,ISNUMBER($I26)),"◆","")</f>
        <v/>
      </c>
      <c r="BA26" s="57" t="str">
        <f aca="false">IF(AND(BA$7=$I26,ISNUMBER($I26)),"◆","")</f>
        <v/>
      </c>
      <c r="BB26" s="57" t="str">
        <f aca="false">IF(AND(BB$7=$I26,ISNUMBER($I26)),"◆","")</f>
        <v/>
      </c>
      <c r="BC26" s="57" t="str">
        <f aca="false">IF(AND(BC$7=$I26,ISNUMBER($I26)),"◆","")</f>
        <v/>
      </c>
      <c r="BD26" s="57" t="str">
        <f aca="false">IF(AND(BD$7=$I26,ISNUMBER($I26)),"◆","")</f>
        <v/>
      </c>
      <c r="BE26" s="57" t="str">
        <f aca="false">IF(AND(BE$7=$I26,ISNUMBER($I26)),"◆","")</f>
        <v/>
      </c>
      <c r="BF26" s="57" t="str">
        <f aca="false">IF(AND(BF$7=$I26,ISNUMBER($I26)),"◆","")</f>
        <v/>
      </c>
      <c r="BG26" s="57" t="str">
        <f aca="false">IF(AND(BG$7=$I26,ISNUMBER($I26)),"◆","")</f>
        <v/>
      </c>
      <c r="BH26" s="57" t="str">
        <f aca="false">IF(AND(BH$7=$I26,ISNUMBER($I26)),"◆","")</f>
        <v/>
      </c>
      <c r="BI26" s="57" t="str">
        <f aca="false">IF(AND(BI$7=$I26,ISNUMBER($I26)),"◆","")</f>
        <v/>
      </c>
      <c r="BJ26" s="57" t="str">
        <f aca="false">IF(AND(BJ$7=$I26,ISNUMBER($I26)),"◆","")</f>
        <v/>
      </c>
      <c r="BK26" s="57" t="str">
        <f aca="false">IF(AND(BK$7=$I26,ISNUMBER($I26)),"◆","")</f>
        <v/>
      </c>
      <c r="BL26" s="57" t="str">
        <f aca="false">IF(AND(BL$7=$I26,ISNUMBER($I26)),"◆","")</f>
        <v/>
      </c>
      <c r="BM26" s="57" t="str">
        <f aca="false">IF(AND(BM$7=$I26,ISNUMBER($I26)),"◆","")</f>
        <v/>
      </c>
      <c r="BN26" s="57" t="str">
        <f aca="false">IF(AND(BN$7=$I26,ISNUMBER($I26)),"◆","")</f>
        <v/>
      </c>
      <c r="BO26" s="57" t="str">
        <f aca="false">IF(AND(BO$7=$I26,ISNUMBER($I26)),"◆","")</f>
        <v/>
      </c>
      <c r="BP26" s="57" t="str">
        <f aca="false">IF(AND(BP$7=$I26,ISNUMBER($I26)),"◆","")</f>
        <v/>
      </c>
      <c r="BQ26" s="57" t="str">
        <f aca="false">IF(AND(BQ$7=$I26,ISNUMBER($I26)),"◆","")</f>
        <v/>
      </c>
      <c r="BR26" s="57" t="str">
        <f aca="false">IF(AND(BR$7=$I26,ISNUMBER($I26)),"◆","")</f>
        <v/>
      </c>
      <c r="BS26" s="57" t="str">
        <f aca="false">IF(AND(BS$7=$I26,ISNUMBER($I26)),"◆","")</f>
        <v/>
      </c>
      <c r="BT26" s="57" t="str">
        <f aca="false">IF(AND(BT$7=$I26,ISNUMBER($I26)),"◆","")</f>
        <v/>
      </c>
      <c r="BU26" s="57" t="str">
        <f aca="false">IF(AND(BU$7=$I26,ISNUMBER($I26)),"◆","")</f>
        <v/>
      </c>
      <c r="BV26" s="57" t="str">
        <f aca="false">IF(AND(BV$7=$I26,ISNUMBER($I26)),"◆","")</f>
        <v/>
      </c>
      <c r="BW26" s="57" t="str">
        <f aca="false">IF(AND(BW$7=$I26,ISNUMBER($I26)),"◆","")</f>
        <v/>
      </c>
      <c r="BX26" s="57" t="str">
        <f aca="false">IF(AND(BX$7=$I26,ISNUMBER($I26)),"◆","")</f>
        <v/>
      </c>
      <c r="BY26" s="57" t="str">
        <f aca="false">IF(AND(BY$7=$I26,ISNUMBER($I26)),"◆","")</f>
        <v/>
      </c>
      <c r="BZ26" s="57" t="str">
        <f aca="false">IF(AND(BZ$7=$I26,ISNUMBER($I26)),"◆","")</f>
        <v/>
      </c>
      <c r="CA26" s="57" t="str">
        <f aca="false">IF(AND(CA$7=$I26,ISNUMBER($I26)),"◆","")</f>
        <v/>
      </c>
      <c r="CB26" s="57" t="str">
        <f aca="false">IF(AND(CB$7=$I26,ISNUMBER($I26)),"◆","")</f>
        <v/>
      </c>
      <c r="CC26" s="57" t="str">
        <f aca="false">IF(AND(CC$7=$I26,ISNUMBER($I26)),"◆","")</f>
        <v/>
      </c>
      <c r="CD26" s="57" t="str">
        <f aca="false">IF(AND(CD$7=$I26,ISNUMBER($I26)),"◆","")</f>
        <v/>
      </c>
      <c r="CE26" s="57" t="str">
        <f aca="false">IF(AND(CE$7=$I26,ISNUMBER($I26)),"◆","")</f>
        <v/>
      </c>
      <c r="CF26" s="57" t="str">
        <f aca="false">IF(AND(CF$7=$I26,ISNUMBER($I26)),"◆","")</f>
        <v/>
      </c>
      <c r="CG26" s="57" t="str">
        <f aca="false">IF(AND(CG$7=$I26,ISNUMBER($I26)),"◆","")</f>
        <v/>
      </c>
      <c r="CH26" s="57" t="str">
        <f aca="false">IF(AND(CH$7=$I26,ISNUMBER($I26)),"◆","")</f>
        <v/>
      </c>
      <c r="CI26" s="57" t="str">
        <f aca="false">IF(AND(CI$7=$I26,ISNUMBER($I26)),"◆","")</f>
        <v/>
      </c>
      <c r="CJ26" s="57" t="str">
        <f aca="false">IF(AND(CJ$7=$I26,ISNUMBER($I26)),"◆","")</f>
        <v/>
      </c>
      <c r="CK26" s="57" t="str">
        <f aca="false">IF(AND(CK$7=$I26,ISNUMBER($I26)),"◆","")</f>
        <v/>
      </c>
      <c r="CL26" s="57" t="str">
        <f aca="false">IF(AND(CL$7=$I26,ISNUMBER($I26)),"◆","")</f>
        <v/>
      </c>
      <c r="CM26" s="57" t="str">
        <f aca="false">IF(AND(CM$7=$I26,ISNUMBER($I26)),"◆","")</f>
        <v/>
      </c>
      <c r="CN26" s="57" t="str">
        <f aca="false">IF(AND(CN$7=$I26,ISNUMBER($I26)),"◆","")</f>
        <v/>
      </c>
      <c r="CO26" s="57" t="str">
        <f aca="false">IF(AND(CO$7=$I26,ISNUMBER($I26)),"◆","")</f>
        <v/>
      </c>
      <c r="CP26" s="57" t="str">
        <f aca="false">IF(AND(CP$7=$I26,ISNUMBER($I26)),"◆","")</f>
        <v/>
      </c>
      <c r="CQ26" s="57" t="str">
        <f aca="false">IF(AND(CQ$7=$I26,ISNUMBER($I26)),"◆","")</f>
        <v/>
      </c>
      <c r="CR26" s="57" t="str">
        <f aca="false">IF(AND(CR$7=$I26,ISNUMBER($I26)),"◆","")</f>
        <v/>
      </c>
      <c r="CS26" s="57" t="str">
        <f aca="false">IF(AND(CS$7=$I26,ISNUMBER($I26)),"◆","")</f>
        <v/>
      </c>
      <c r="CT26" s="57" t="str">
        <f aca="false">IF(AND(CT$7=$I26,ISNUMBER($I26)),"◆","")</f>
        <v/>
      </c>
      <c r="CU26" s="57" t="str">
        <f aca="false">IF(AND(CU$7=$I26,ISNUMBER($I26)),"◆","")</f>
        <v/>
      </c>
      <c r="CV26" s="57" t="str">
        <f aca="false">IF(AND(CV$7=$I26,ISNUMBER($I26)),"◆","")</f>
        <v/>
      </c>
      <c r="CW26" s="57" t="str">
        <f aca="false">IF(AND(CW$7=$I26,ISNUMBER($I26)),"◆","")</f>
        <v/>
      </c>
      <c r="CX26" s="57" t="str">
        <f aca="false">IF(AND(CX$7=$I26,ISNUMBER($I26)),"◆","")</f>
        <v/>
      </c>
      <c r="CY26" s="57" t="str">
        <f aca="false">IF(AND(CY$7=$I26,ISNUMBER($I26)),"◆","")</f>
        <v/>
      </c>
      <c r="CZ26" s="57" t="str">
        <f aca="false">IF(AND(CZ$7=$I26,ISNUMBER($I26)),"◆","")</f>
        <v/>
      </c>
      <c r="DA26" s="57" t="str">
        <f aca="false">IF(AND(DA$7=$I26,ISNUMBER($I26)),"◆","")</f>
        <v/>
      </c>
      <c r="DB26" s="57" t="str">
        <f aca="false">IF(AND(DB$7=$I26,ISNUMBER($I26)),"◆","")</f>
        <v/>
      </c>
      <c r="DC26" s="57" t="str">
        <f aca="false">IF(AND(DC$7=$I26,ISNUMBER($I26)),"◆","")</f>
        <v/>
      </c>
      <c r="DD26" s="57" t="str">
        <f aca="false">IF(AND(DD$7=$I26,ISNUMBER($I26)),"◆","")</f>
        <v/>
      </c>
      <c r="DE26" s="57" t="str">
        <f aca="false">IF(AND(DE$7=$I26,ISNUMBER($I26)),"◆","")</f>
        <v/>
      </c>
      <c r="DF26" s="57" t="str">
        <f aca="false">IF(AND(DF$7=$I26,ISNUMBER($I26)),"◆","")</f>
        <v/>
      </c>
      <c r="DG26" s="57" t="str">
        <f aca="false">IF(AND(DG$7=$I26,ISNUMBER($I26)),"◆","")</f>
        <v/>
      </c>
      <c r="DH26" s="57" t="str">
        <f aca="false">IF(AND(DH$7=$I26,ISNUMBER($I26)),"◆","")</f>
        <v/>
      </c>
      <c r="DI26" s="57" t="str">
        <f aca="false">IF(AND(DI$7=$I26,ISNUMBER($I26)),"◆","")</f>
        <v/>
      </c>
      <c r="DJ26" s="57" t="str">
        <f aca="false">IF(AND(DJ$7=$I26,ISNUMBER($I26)),"◆","")</f>
        <v/>
      </c>
      <c r="DK26" s="57" t="str">
        <f aca="false">IF(AND(DK$7=$I26,ISNUMBER($I26)),"◆","")</f>
        <v/>
      </c>
      <c r="DL26" s="57" t="str">
        <f aca="false">IF(AND(DL$7=$I26,ISNUMBER($I26)),"◆","")</f>
        <v/>
      </c>
      <c r="DM26" s="57" t="str">
        <f aca="false">IF(AND(DM$7=$I26,ISNUMBER($I26)),"◆","")</f>
        <v/>
      </c>
      <c r="DN26" s="57" t="str">
        <f aca="false">IF(AND(DN$7=$I26,ISNUMBER($I26)),"◆","")</f>
        <v/>
      </c>
      <c r="DO26" s="57" t="str">
        <f aca="false">IF(AND(DO$7=$I26,ISNUMBER($I26)),"◆","")</f>
        <v/>
      </c>
      <c r="DP26" s="57" t="str">
        <f aca="false">IF(AND(DP$7=$I26,ISNUMBER($I26)),"◆","")</f>
        <v/>
      </c>
      <c r="DQ26" s="57" t="str">
        <f aca="false">IF(AND(DQ$7=$I26,ISNUMBER($I26)),"◆","")</f>
        <v/>
      </c>
      <c r="DR26" s="57" t="str">
        <f aca="false">IF(AND(DR$7=$I26,ISNUMBER($I26)),"◆","")</f>
        <v/>
      </c>
      <c r="DS26" s="57" t="str">
        <f aca="false">IF(AND(DS$7=$I26,ISNUMBER($I26)),"◆","")</f>
        <v/>
      </c>
      <c r="DT26" s="57" t="str">
        <f aca="false">IF(AND(DT$7=$I26,ISNUMBER($I26)),"◆","")</f>
        <v/>
      </c>
      <c r="DU26" s="57" t="str">
        <f aca="false">IF(AND(DU$7=$I26,ISNUMBER($I26)),"◆","")</f>
        <v/>
      </c>
      <c r="DV26" s="57" t="str">
        <f aca="false">IF(AND(DV$7=$I26,ISNUMBER($I26)),"◆","")</f>
        <v/>
      </c>
      <c r="DW26" s="57" t="str">
        <f aca="false">IF(AND(DW$7=$I26,ISNUMBER($I26)),"◆","")</f>
        <v/>
      </c>
      <c r="DX26" s="57" t="str">
        <f aca="false">IF(AND(DX$7=$I26,ISNUMBER($I26)),"◆","")</f>
        <v/>
      </c>
      <c r="DY26" s="57" t="str">
        <f aca="false">IF(AND(DY$7=$I26,ISNUMBER($I26)),"◆","")</f>
        <v/>
      </c>
      <c r="DZ26" s="57" t="str">
        <f aca="false">IF(AND(DZ$7=$I26,ISNUMBER($I26)),"◆","")</f>
        <v/>
      </c>
      <c r="EA26" s="57" t="str">
        <f aca="false">IF(AND(EA$7=$I26,ISNUMBER($I26)),"◆","")</f>
        <v/>
      </c>
      <c r="EB26" s="57" t="str">
        <f aca="false">IF(AND(EB$7=$I26,ISNUMBER($I26)),"◆","")</f>
        <v/>
      </c>
      <c r="EC26" s="57" t="str">
        <f aca="false">IF(AND(EC$7=$I26,ISNUMBER($I26)),"◆","")</f>
        <v/>
      </c>
      <c r="ED26" s="57" t="str">
        <f aca="false">IF(AND(ED$7=$I26,ISNUMBER($I26)),"◆","")</f>
        <v/>
      </c>
      <c r="EE26" s="57" t="str">
        <f aca="false">IF(AND(EE$7=$I26,ISNUMBER($I26)),"◆","")</f>
        <v/>
      </c>
      <c r="EF26" s="57" t="str">
        <f aca="false">IF(AND(EF$7=$I26,ISNUMBER($I26)),"◆","")</f>
        <v/>
      </c>
      <c r="EG26" s="57" t="str">
        <f aca="false">IF(AND(EG$7=$I26,ISNUMBER($I26)),"◆","")</f>
        <v/>
      </c>
      <c r="EH26" s="57" t="str">
        <f aca="false">IF(AND(EH$7=$I26,ISNUMBER($I26)),"◆","")</f>
        <v/>
      </c>
      <c r="EI26" s="57" t="str">
        <f aca="false">IF(AND(EI$7=$I26,ISNUMBER($I26)),"◆","")</f>
        <v/>
      </c>
      <c r="EJ26" s="57" t="str">
        <f aca="false">IF(AND(EJ$7=$I26,ISNUMBER($I26)),"◆","")</f>
        <v/>
      </c>
      <c r="EK26" s="57" t="str">
        <f aca="false">IF(AND(EK$7=$I26,ISNUMBER($I26)),"◆","")</f>
        <v/>
      </c>
      <c r="EL26" s="57" t="str">
        <f aca="false">IF(AND(EL$7=$I26,ISNUMBER($I26)),"◆","")</f>
        <v/>
      </c>
      <c r="EM26" s="57" t="str">
        <f aca="false">IF(AND(EM$7=$I26,ISNUMBER($I26)),"◆","")</f>
        <v/>
      </c>
    </row>
    <row r="27" customFormat="false" ht="25.5" hidden="false" customHeight="true" outlineLevel="0" collapsed="false">
      <c r="A27" s="50" t="str">
        <f aca="false">制作工程表!A22</f>
        <v>T14</v>
      </c>
      <c r="B27" s="51" t="str">
        <f aca="false">制作工程表!B22</f>
        <v>原稿確認</v>
      </c>
      <c r="C27" s="52" t="str">
        <f aca="false">制作工程表!C22</f>
        <v>原稿・写真・仕様表記のご確認</v>
      </c>
      <c r="D27" s="53" t="str">
        <f aca="false">制作工程表!D22</f>
        <v>総務窓口</v>
      </c>
      <c r="E27" s="53" t="str">
        <f aca="false">制作工程表!E22</f>
        <v>工場長・営業・生産管理</v>
      </c>
      <c r="F27" s="54" t="str">
        <f aca="false">IF(制作工程表!B22="取材撮影","撮影",IF(OR(制作工程表!D22="総務窓口",制作工程表!D22="工場長",制作工程表!D22="代表",制作工程表!D22="営業・生産管理"),"企業","制作"))</f>
        <v>企業</v>
      </c>
      <c r="G27" s="55" t="n">
        <f aca="false">制作工程表!G22</f>
        <v>46400</v>
      </c>
      <c r="H27" s="55" t="n">
        <f aca="false">制作工程表!H22</f>
        <v>46408</v>
      </c>
      <c r="I27" s="56" t="n">
        <f aca="false">制作工程表!I22</f>
        <v>46408</v>
      </c>
      <c r="J27" s="51" t="str">
        <f aca="false">制作工程表!K22</f>
        <v>未着手</v>
      </c>
      <c r="K27" s="57" t="str">
        <f aca="false">IF(AND(K$7=$I27,ISNUMBER($I27)),"◆","")</f>
        <v/>
      </c>
      <c r="L27" s="57" t="str">
        <f aca="false">IF(AND(L$7=$I27,ISNUMBER($I27)),"◆","")</f>
        <v/>
      </c>
      <c r="M27" s="57" t="str">
        <f aca="false">IF(AND(M$7=$I27,ISNUMBER($I27)),"◆","")</f>
        <v/>
      </c>
      <c r="N27" s="57" t="str">
        <f aca="false">IF(AND(N$7=$I27,ISNUMBER($I27)),"◆","")</f>
        <v/>
      </c>
      <c r="O27" s="57" t="str">
        <f aca="false">IF(AND(O$7=$I27,ISNUMBER($I27)),"◆","")</f>
        <v/>
      </c>
      <c r="P27" s="57" t="str">
        <f aca="false">IF(AND(P$7=$I27,ISNUMBER($I27)),"◆","")</f>
        <v/>
      </c>
      <c r="Q27" s="57" t="str">
        <f aca="false">IF(AND(Q$7=$I27,ISNUMBER($I27)),"◆","")</f>
        <v/>
      </c>
      <c r="R27" s="57" t="str">
        <f aca="false">IF(AND(R$7=$I27,ISNUMBER($I27)),"◆","")</f>
        <v/>
      </c>
      <c r="S27" s="57" t="str">
        <f aca="false">IF(AND(S$7=$I27,ISNUMBER($I27)),"◆","")</f>
        <v/>
      </c>
      <c r="T27" s="57" t="str">
        <f aca="false">IF(AND(T$7=$I27,ISNUMBER($I27)),"◆","")</f>
        <v/>
      </c>
      <c r="U27" s="57" t="str">
        <f aca="false">IF(AND(U$7=$I27,ISNUMBER($I27)),"◆","")</f>
        <v/>
      </c>
      <c r="V27" s="57" t="str">
        <f aca="false">IF(AND(V$7=$I27,ISNUMBER($I27)),"◆","")</f>
        <v/>
      </c>
      <c r="W27" s="57" t="str">
        <f aca="false">IF(AND(W$7=$I27,ISNUMBER($I27)),"◆","")</f>
        <v/>
      </c>
      <c r="X27" s="57" t="str">
        <f aca="false">IF(AND(X$7=$I27,ISNUMBER($I27)),"◆","")</f>
        <v/>
      </c>
      <c r="Y27" s="57" t="str">
        <f aca="false">IF(AND(Y$7=$I27,ISNUMBER($I27)),"◆","")</f>
        <v/>
      </c>
      <c r="Z27" s="57" t="str">
        <f aca="false">IF(AND(Z$7=$I27,ISNUMBER($I27)),"◆","")</f>
        <v/>
      </c>
      <c r="AA27" s="57" t="str">
        <f aca="false">IF(AND(AA$7=$I27,ISNUMBER($I27)),"◆","")</f>
        <v/>
      </c>
      <c r="AB27" s="57" t="str">
        <f aca="false">IF(AND(AB$7=$I27,ISNUMBER($I27)),"◆","")</f>
        <v/>
      </c>
      <c r="AC27" s="57" t="str">
        <f aca="false">IF(AND(AC$7=$I27,ISNUMBER($I27)),"◆","")</f>
        <v/>
      </c>
      <c r="AD27" s="57" t="str">
        <f aca="false">IF(AND(AD$7=$I27,ISNUMBER($I27)),"◆","")</f>
        <v/>
      </c>
      <c r="AE27" s="57" t="str">
        <f aca="false">IF(AND(AE$7=$I27,ISNUMBER($I27)),"◆","")</f>
        <v/>
      </c>
      <c r="AF27" s="57" t="str">
        <f aca="false">IF(AND(AF$7=$I27,ISNUMBER($I27)),"◆","")</f>
        <v/>
      </c>
      <c r="AG27" s="57" t="str">
        <f aca="false">IF(AND(AG$7=$I27,ISNUMBER($I27)),"◆","")</f>
        <v/>
      </c>
      <c r="AH27" s="57" t="str">
        <f aca="false">IF(AND(AH$7=$I27,ISNUMBER($I27)),"◆","")</f>
        <v/>
      </c>
      <c r="AI27" s="57" t="str">
        <f aca="false">IF(AND(AI$7=$I27,ISNUMBER($I27)),"◆","")</f>
        <v/>
      </c>
      <c r="AJ27" s="57" t="str">
        <f aca="false">IF(AND(AJ$7=$I27,ISNUMBER($I27)),"◆","")</f>
        <v/>
      </c>
      <c r="AK27" s="57" t="str">
        <f aca="false">IF(AND(AK$7=$I27,ISNUMBER($I27)),"◆","")</f>
        <v/>
      </c>
      <c r="AL27" s="57" t="str">
        <f aca="false">IF(AND(AL$7=$I27,ISNUMBER($I27)),"◆","")</f>
        <v/>
      </c>
      <c r="AM27" s="57" t="str">
        <f aca="false">IF(AND(AM$7=$I27,ISNUMBER($I27)),"◆","")</f>
        <v/>
      </c>
      <c r="AN27" s="57" t="str">
        <f aca="false">IF(AND(AN$7=$I27,ISNUMBER($I27)),"◆","")</f>
        <v/>
      </c>
      <c r="AO27" s="57" t="str">
        <f aca="false">IF(AND(AO$7=$I27,ISNUMBER($I27)),"◆","")</f>
        <v/>
      </c>
      <c r="AP27" s="57" t="str">
        <f aca="false">IF(AND(AP$7=$I27,ISNUMBER($I27)),"◆","")</f>
        <v/>
      </c>
      <c r="AQ27" s="57" t="str">
        <f aca="false">IF(AND(AQ$7=$I27,ISNUMBER($I27)),"◆","")</f>
        <v/>
      </c>
      <c r="AR27" s="57" t="str">
        <f aca="false">IF(AND(AR$7=$I27,ISNUMBER($I27)),"◆","")</f>
        <v/>
      </c>
      <c r="AS27" s="57" t="str">
        <f aca="false">IF(AND(AS$7=$I27,ISNUMBER($I27)),"◆","")</f>
        <v/>
      </c>
      <c r="AT27" s="57" t="str">
        <f aca="false">IF(AND(AT$7=$I27,ISNUMBER($I27)),"◆","")</f>
        <v/>
      </c>
      <c r="AU27" s="57" t="str">
        <f aca="false">IF(AND(AU$7=$I27,ISNUMBER($I27)),"◆","")</f>
        <v/>
      </c>
      <c r="AV27" s="57" t="str">
        <f aca="false">IF(AND(AV$7=$I27,ISNUMBER($I27)),"◆","")</f>
        <v/>
      </c>
      <c r="AW27" s="57" t="str">
        <f aca="false">IF(AND(AW$7=$I27,ISNUMBER($I27)),"◆","")</f>
        <v/>
      </c>
      <c r="AX27" s="57" t="str">
        <f aca="false">IF(AND(AX$7=$I27,ISNUMBER($I27)),"◆","")</f>
        <v/>
      </c>
      <c r="AY27" s="57" t="str">
        <f aca="false">IF(AND(AY$7=$I27,ISNUMBER($I27)),"◆","")</f>
        <v/>
      </c>
      <c r="AZ27" s="57" t="str">
        <f aca="false">IF(AND(AZ$7=$I27,ISNUMBER($I27)),"◆","")</f>
        <v/>
      </c>
      <c r="BA27" s="57" t="str">
        <f aca="false">IF(AND(BA$7=$I27,ISNUMBER($I27)),"◆","")</f>
        <v/>
      </c>
      <c r="BB27" s="57" t="str">
        <f aca="false">IF(AND(BB$7=$I27,ISNUMBER($I27)),"◆","")</f>
        <v/>
      </c>
      <c r="BC27" s="57" t="str">
        <f aca="false">IF(AND(BC$7=$I27,ISNUMBER($I27)),"◆","")</f>
        <v/>
      </c>
      <c r="BD27" s="57" t="str">
        <f aca="false">IF(AND(BD$7=$I27,ISNUMBER($I27)),"◆","")</f>
        <v/>
      </c>
      <c r="BE27" s="57" t="str">
        <f aca="false">IF(AND(BE$7=$I27,ISNUMBER($I27)),"◆","")</f>
        <v/>
      </c>
      <c r="BF27" s="57" t="str">
        <f aca="false">IF(AND(BF$7=$I27,ISNUMBER($I27)),"◆","")</f>
        <v/>
      </c>
      <c r="BG27" s="57" t="str">
        <f aca="false">IF(AND(BG$7=$I27,ISNUMBER($I27)),"◆","")</f>
        <v/>
      </c>
      <c r="BH27" s="57" t="str">
        <f aca="false">IF(AND(BH$7=$I27,ISNUMBER($I27)),"◆","")</f>
        <v/>
      </c>
      <c r="BI27" s="57" t="str">
        <f aca="false">IF(AND(BI$7=$I27,ISNUMBER($I27)),"◆","")</f>
        <v/>
      </c>
      <c r="BJ27" s="57" t="str">
        <f aca="false">IF(AND(BJ$7=$I27,ISNUMBER($I27)),"◆","")</f>
        <v/>
      </c>
      <c r="BK27" s="57" t="str">
        <f aca="false">IF(AND(BK$7=$I27,ISNUMBER($I27)),"◆","")</f>
        <v/>
      </c>
      <c r="BL27" s="57" t="str">
        <f aca="false">IF(AND(BL$7=$I27,ISNUMBER($I27)),"◆","")</f>
        <v/>
      </c>
      <c r="BM27" s="57" t="str">
        <f aca="false">IF(AND(BM$7=$I27,ISNUMBER($I27)),"◆","")</f>
        <v/>
      </c>
      <c r="BN27" s="57" t="str">
        <f aca="false">IF(AND(BN$7=$I27,ISNUMBER($I27)),"◆","")</f>
        <v/>
      </c>
      <c r="BO27" s="57" t="str">
        <f aca="false">IF(AND(BO$7=$I27,ISNUMBER($I27)),"◆","")</f>
        <v/>
      </c>
      <c r="BP27" s="57" t="str">
        <f aca="false">IF(AND(BP$7=$I27,ISNUMBER($I27)),"◆","")</f>
        <v/>
      </c>
      <c r="BQ27" s="57" t="str">
        <f aca="false">IF(AND(BQ$7=$I27,ISNUMBER($I27)),"◆","")</f>
        <v/>
      </c>
      <c r="BR27" s="57" t="str">
        <f aca="false">IF(AND(BR$7=$I27,ISNUMBER($I27)),"◆","")</f>
        <v/>
      </c>
      <c r="BS27" s="57" t="str">
        <f aca="false">IF(AND(BS$7=$I27,ISNUMBER($I27)),"◆","")</f>
        <v/>
      </c>
      <c r="BT27" s="57" t="str">
        <f aca="false">IF(AND(BT$7=$I27,ISNUMBER($I27)),"◆","")</f>
        <v/>
      </c>
      <c r="BU27" s="57" t="str">
        <f aca="false">IF(AND(BU$7=$I27,ISNUMBER($I27)),"◆","")</f>
        <v/>
      </c>
      <c r="BV27" s="57" t="str">
        <f aca="false">IF(AND(BV$7=$I27,ISNUMBER($I27)),"◆","")</f>
        <v/>
      </c>
      <c r="BW27" s="57" t="str">
        <f aca="false">IF(AND(BW$7=$I27,ISNUMBER($I27)),"◆","")</f>
        <v/>
      </c>
      <c r="BX27" s="57" t="str">
        <f aca="false">IF(AND(BX$7=$I27,ISNUMBER($I27)),"◆","")</f>
        <v/>
      </c>
      <c r="BY27" s="57" t="str">
        <f aca="false">IF(AND(BY$7=$I27,ISNUMBER($I27)),"◆","")</f>
        <v/>
      </c>
      <c r="BZ27" s="57" t="str">
        <f aca="false">IF(AND(BZ$7=$I27,ISNUMBER($I27)),"◆","")</f>
        <v/>
      </c>
      <c r="CA27" s="57" t="str">
        <f aca="false">IF(AND(CA$7=$I27,ISNUMBER($I27)),"◆","")</f>
        <v/>
      </c>
      <c r="CB27" s="57" t="str">
        <f aca="false">IF(AND(CB$7=$I27,ISNUMBER($I27)),"◆","")</f>
        <v/>
      </c>
      <c r="CC27" s="57" t="str">
        <f aca="false">IF(AND(CC$7=$I27,ISNUMBER($I27)),"◆","")</f>
        <v/>
      </c>
      <c r="CD27" s="57" t="str">
        <f aca="false">IF(AND(CD$7=$I27,ISNUMBER($I27)),"◆","")</f>
        <v/>
      </c>
      <c r="CE27" s="57" t="str">
        <f aca="false">IF(AND(CE$7=$I27,ISNUMBER($I27)),"◆","")</f>
        <v/>
      </c>
      <c r="CF27" s="57" t="str">
        <f aca="false">IF(AND(CF$7=$I27,ISNUMBER($I27)),"◆","")</f>
        <v/>
      </c>
      <c r="CG27" s="57" t="str">
        <f aca="false">IF(AND(CG$7=$I27,ISNUMBER($I27)),"◆","")</f>
        <v/>
      </c>
      <c r="CH27" s="57" t="str">
        <f aca="false">IF(AND(CH$7=$I27,ISNUMBER($I27)),"◆","")</f>
        <v/>
      </c>
      <c r="CI27" s="57" t="str">
        <f aca="false">IF(AND(CI$7=$I27,ISNUMBER($I27)),"◆","")</f>
        <v/>
      </c>
      <c r="CJ27" s="57" t="str">
        <f aca="false">IF(AND(CJ$7=$I27,ISNUMBER($I27)),"◆","")</f>
        <v/>
      </c>
      <c r="CK27" s="57" t="str">
        <f aca="false">IF(AND(CK$7=$I27,ISNUMBER($I27)),"◆","")</f>
        <v/>
      </c>
      <c r="CL27" s="57" t="str">
        <f aca="false">IF(AND(CL$7=$I27,ISNUMBER($I27)),"◆","")</f>
        <v/>
      </c>
      <c r="CM27" s="57" t="str">
        <f aca="false">IF(AND(CM$7=$I27,ISNUMBER($I27)),"◆","")</f>
        <v>◆</v>
      </c>
      <c r="CN27" s="57" t="str">
        <f aca="false">IF(AND(CN$7=$I27,ISNUMBER($I27)),"◆","")</f>
        <v/>
      </c>
      <c r="CO27" s="57" t="str">
        <f aca="false">IF(AND(CO$7=$I27,ISNUMBER($I27)),"◆","")</f>
        <v/>
      </c>
      <c r="CP27" s="57" t="str">
        <f aca="false">IF(AND(CP$7=$I27,ISNUMBER($I27)),"◆","")</f>
        <v/>
      </c>
      <c r="CQ27" s="57" t="str">
        <f aca="false">IF(AND(CQ$7=$I27,ISNUMBER($I27)),"◆","")</f>
        <v/>
      </c>
      <c r="CR27" s="57" t="str">
        <f aca="false">IF(AND(CR$7=$I27,ISNUMBER($I27)),"◆","")</f>
        <v/>
      </c>
      <c r="CS27" s="57" t="str">
        <f aca="false">IF(AND(CS$7=$I27,ISNUMBER($I27)),"◆","")</f>
        <v/>
      </c>
      <c r="CT27" s="57" t="str">
        <f aca="false">IF(AND(CT$7=$I27,ISNUMBER($I27)),"◆","")</f>
        <v/>
      </c>
      <c r="CU27" s="57" t="str">
        <f aca="false">IF(AND(CU$7=$I27,ISNUMBER($I27)),"◆","")</f>
        <v/>
      </c>
      <c r="CV27" s="57" t="str">
        <f aca="false">IF(AND(CV$7=$I27,ISNUMBER($I27)),"◆","")</f>
        <v/>
      </c>
      <c r="CW27" s="57" t="str">
        <f aca="false">IF(AND(CW$7=$I27,ISNUMBER($I27)),"◆","")</f>
        <v/>
      </c>
      <c r="CX27" s="57" t="str">
        <f aca="false">IF(AND(CX$7=$I27,ISNUMBER($I27)),"◆","")</f>
        <v/>
      </c>
      <c r="CY27" s="57" t="str">
        <f aca="false">IF(AND(CY$7=$I27,ISNUMBER($I27)),"◆","")</f>
        <v/>
      </c>
      <c r="CZ27" s="57" t="str">
        <f aca="false">IF(AND(CZ$7=$I27,ISNUMBER($I27)),"◆","")</f>
        <v/>
      </c>
      <c r="DA27" s="57" t="str">
        <f aca="false">IF(AND(DA$7=$I27,ISNUMBER($I27)),"◆","")</f>
        <v/>
      </c>
      <c r="DB27" s="57" t="str">
        <f aca="false">IF(AND(DB$7=$I27,ISNUMBER($I27)),"◆","")</f>
        <v/>
      </c>
      <c r="DC27" s="57" t="str">
        <f aca="false">IF(AND(DC$7=$I27,ISNUMBER($I27)),"◆","")</f>
        <v/>
      </c>
      <c r="DD27" s="57" t="str">
        <f aca="false">IF(AND(DD$7=$I27,ISNUMBER($I27)),"◆","")</f>
        <v/>
      </c>
      <c r="DE27" s="57" t="str">
        <f aca="false">IF(AND(DE$7=$I27,ISNUMBER($I27)),"◆","")</f>
        <v/>
      </c>
      <c r="DF27" s="57" t="str">
        <f aca="false">IF(AND(DF$7=$I27,ISNUMBER($I27)),"◆","")</f>
        <v/>
      </c>
      <c r="DG27" s="57" t="str">
        <f aca="false">IF(AND(DG$7=$I27,ISNUMBER($I27)),"◆","")</f>
        <v/>
      </c>
      <c r="DH27" s="57" t="str">
        <f aca="false">IF(AND(DH$7=$I27,ISNUMBER($I27)),"◆","")</f>
        <v/>
      </c>
      <c r="DI27" s="57" t="str">
        <f aca="false">IF(AND(DI$7=$I27,ISNUMBER($I27)),"◆","")</f>
        <v/>
      </c>
      <c r="DJ27" s="57" t="str">
        <f aca="false">IF(AND(DJ$7=$I27,ISNUMBER($I27)),"◆","")</f>
        <v/>
      </c>
      <c r="DK27" s="57" t="str">
        <f aca="false">IF(AND(DK$7=$I27,ISNUMBER($I27)),"◆","")</f>
        <v/>
      </c>
      <c r="DL27" s="57" t="str">
        <f aca="false">IF(AND(DL$7=$I27,ISNUMBER($I27)),"◆","")</f>
        <v/>
      </c>
      <c r="DM27" s="57" t="str">
        <f aca="false">IF(AND(DM$7=$I27,ISNUMBER($I27)),"◆","")</f>
        <v/>
      </c>
      <c r="DN27" s="57" t="str">
        <f aca="false">IF(AND(DN$7=$I27,ISNUMBER($I27)),"◆","")</f>
        <v/>
      </c>
      <c r="DO27" s="57" t="str">
        <f aca="false">IF(AND(DO$7=$I27,ISNUMBER($I27)),"◆","")</f>
        <v/>
      </c>
      <c r="DP27" s="57" t="str">
        <f aca="false">IF(AND(DP$7=$I27,ISNUMBER($I27)),"◆","")</f>
        <v/>
      </c>
      <c r="DQ27" s="57" t="str">
        <f aca="false">IF(AND(DQ$7=$I27,ISNUMBER($I27)),"◆","")</f>
        <v/>
      </c>
      <c r="DR27" s="57" t="str">
        <f aca="false">IF(AND(DR$7=$I27,ISNUMBER($I27)),"◆","")</f>
        <v/>
      </c>
      <c r="DS27" s="57" t="str">
        <f aca="false">IF(AND(DS$7=$I27,ISNUMBER($I27)),"◆","")</f>
        <v/>
      </c>
      <c r="DT27" s="57" t="str">
        <f aca="false">IF(AND(DT$7=$I27,ISNUMBER($I27)),"◆","")</f>
        <v/>
      </c>
      <c r="DU27" s="57" t="str">
        <f aca="false">IF(AND(DU$7=$I27,ISNUMBER($I27)),"◆","")</f>
        <v/>
      </c>
      <c r="DV27" s="57" t="str">
        <f aca="false">IF(AND(DV$7=$I27,ISNUMBER($I27)),"◆","")</f>
        <v/>
      </c>
      <c r="DW27" s="57" t="str">
        <f aca="false">IF(AND(DW$7=$I27,ISNUMBER($I27)),"◆","")</f>
        <v/>
      </c>
      <c r="DX27" s="57" t="str">
        <f aca="false">IF(AND(DX$7=$I27,ISNUMBER($I27)),"◆","")</f>
        <v/>
      </c>
      <c r="DY27" s="57" t="str">
        <f aca="false">IF(AND(DY$7=$I27,ISNUMBER($I27)),"◆","")</f>
        <v/>
      </c>
      <c r="DZ27" s="57" t="str">
        <f aca="false">IF(AND(DZ$7=$I27,ISNUMBER($I27)),"◆","")</f>
        <v/>
      </c>
      <c r="EA27" s="57" t="str">
        <f aca="false">IF(AND(EA$7=$I27,ISNUMBER($I27)),"◆","")</f>
        <v/>
      </c>
      <c r="EB27" s="57" t="str">
        <f aca="false">IF(AND(EB$7=$I27,ISNUMBER($I27)),"◆","")</f>
        <v/>
      </c>
      <c r="EC27" s="57" t="str">
        <f aca="false">IF(AND(EC$7=$I27,ISNUMBER($I27)),"◆","")</f>
        <v/>
      </c>
      <c r="ED27" s="57" t="str">
        <f aca="false">IF(AND(ED$7=$I27,ISNUMBER($I27)),"◆","")</f>
        <v/>
      </c>
      <c r="EE27" s="57" t="str">
        <f aca="false">IF(AND(EE$7=$I27,ISNUMBER($I27)),"◆","")</f>
        <v/>
      </c>
      <c r="EF27" s="57" t="str">
        <f aca="false">IF(AND(EF$7=$I27,ISNUMBER($I27)),"◆","")</f>
        <v/>
      </c>
      <c r="EG27" s="57" t="str">
        <f aca="false">IF(AND(EG$7=$I27,ISNUMBER($I27)),"◆","")</f>
        <v/>
      </c>
      <c r="EH27" s="57" t="str">
        <f aca="false">IF(AND(EH$7=$I27,ISNUMBER($I27)),"◆","")</f>
        <v/>
      </c>
      <c r="EI27" s="57" t="str">
        <f aca="false">IF(AND(EI$7=$I27,ISNUMBER($I27)),"◆","")</f>
        <v/>
      </c>
      <c r="EJ27" s="57" t="str">
        <f aca="false">IF(AND(EJ$7=$I27,ISNUMBER($I27)),"◆","")</f>
        <v/>
      </c>
      <c r="EK27" s="57" t="str">
        <f aca="false">IF(AND(EK$7=$I27,ISNUMBER($I27)),"◆","")</f>
        <v/>
      </c>
      <c r="EL27" s="57" t="str">
        <f aca="false">IF(AND(EL$7=$I27,ISNUMBER($I27)),"◆","")</f>
        <v/>
      </c>
      <c r="EM27" s="57" t="str">
        <f aca="false">IF(AND(EM$7=$I27,ISNUMBER($I27)),"◆","")</f>
        <v/>
      </c>
    </row>
    <row r="28" customFormat="false" ht="25.5" hidden="false" customHeight="true" outlineLevel="0" collapsed="false">
      <c r="A28" s="50" t="str">
        <f aca="false">制作工程表!A23</f>
        <v>T15</v>
      </c>
      <c r="B28" s="51" t="str">
        <f aca="false">制作工程表!B23</f>
        <v>原稿確定</v>
      </c>
      <c r="C28" s="52" t="str">
        <f aca="false">制作工程表!C23</f>
        <v>原稿の修正・確定</v>
      </c>
      <c r="D28" s="53" t="str">
        <f aca="false">制作工程表!D23</f>
        <v>ライター・編集ディレクター</v>
      </c>
      <c r="E28" s="53" t="str">
        <f aca="false">制作工程表!E23</f>
        <v>—</v>
      </c>
      <c r="F28" s="54" t="str">
        <f aca="false">IF(制作工程表!B23="取材撮影","撮影",IF(OR(制作工程表!D23="総務窓口",制作工程表!D23="工場長",制作工程表!D23="代表",制作工程表!D23="営業・生産管理"),"企業","制作"))</f>
        <v>制作</v>
      </c>
      <c r="G28" s="55" t="n">
        <f aca="false">制作工程表!G23</f>
        <v>46409</v>
      </c>
      <c r="H28" s="55" t="n">
        <f aca="false">制作工程表!H23</f>
        <v>46413</v>
      </c>
      <c r="I28" s="56" t="str">
        <f aca="false">制作工程表!I23</f>
        <v>—</v>
      </c>
      <c r="J28" s="51" t="str">
        <f aca="false">制作工程表!K23</f>
        <v>未着手</v>
      </c>
      <c r="K28" s="57" t="str">
        <f aca="false">IF(AND(K$7=$I28,ISNUMBER($I28)),"◆","")</f>
        <v/>
      </c>
      <c r="L28" s="57" t="str">
        <f aca="false">IF(AND(L$7=$I28,ISNUMBER($I28)),"◆","")</f>
        <v/>
      </c>
      <c r="M28" s="57" t="str">
        <f aca="false">IF(AND(M$7=$I28,ISNUMBER($I28)),"◆","")</f>
        <v/>
      </c>
      <c r="N28" s="57" t="str">
        <f aca="false">IF(AND(N$7=$I28,ISNUMBER($I28)),"◆","")</f>
        <v/>
      </c>
      <c r="O28" s="57" t="str">
        <f aca="false">IF(AND(O$7=$I28,ISNUMBER($I28)),"◆","")</f>
        <v/>
      </c>
      <c r="P28" s="57" t="str">
        <f aca="false">IF(AND(P$7=$I28,ISNUMBER($I28)),"◆","")</f>
        <v/>
      </c>
      <c r="Q28" s="57" t="str">
        <f aca="false">IF(AND(Q$7=$I28,ISNUMBER($I28)),"◆","")</f>
        <v/>
      </c>
      <c r="R28" s="57" t="str">
        <f aca="false">IF(AND(R$7=$I28,ISNUMBER($I28)),"◆","")</f>
        <v/>
      </c>
      <c r="S28" s="57" t="str">
        <f aca="false">IF(AND(S$7=$I28,ISNUMBER($I28)),"◆","")</f>
        <v/>
      </c>
      <c r="T28" s="57" t="str">
        <f aca="false">IF(AND(T$7=$I28,ISNUMBER($I28)),"◆","")</f>
        <v/>
      </c>
      <c r="U28" s="57" t="str">
        <f aca="false">IF(AND(U$7=$I28,ISNUMBER($I28)),"◆","")</f>
        <v/>
      </c>
      <c r="V28" s="57" t="str">
        <f aca="false">IF(AND(V$7=$I28,ISNUMBER($I28)),"◆","")</f>
        <v/>
      </c>
      <c r="W28" s="57" t="str">
        <f aca="false">IF(AND(W$7=$I28,ISNUMBER($I28)),"◆","")</f>
        <v/>
      </c>
      <c r="X28" s="57" t="str">
        <f aca="false">IF(AND(X$7=$I28,ISNUMBER($I28)),"◆","")</f>
        <v/>
      </c>
      <c r="Y28" s="57" t="str">
        <f aca="false">IF(AND(Y$7=$I28,ISNUMBER($I28)),"◆","")</f>
        <v/>
      </c>
      <c r="Z28" s="57" t="str">
        <f aca="false">IF(AND(Z$7=$I28,ISNUMBER($I28)),"◆","")</f>
        <v/>
      </c>
      <c r="AA28" s="57" t="str">
        <f aca="false">IF(AND(AA$7=$I28,ISNUMBER($I28)),"◆","")</f>
        <v/>
      </c>
      <c r="AB28" s="57" t="str">
        <f aca="false">IF(AND(AB$7=$I28,ISNUMBER($I28)),"◆","")</f>
        <v/>
      </c>
      <c r="AC28" s="57" t="str">
        <f aca="false">IF(AND(AC$7=$I28,ISNUMBER($I28)),"◆","")</f>
        <v/>
      </c>
      <c r="AD28" s="57" t="str">
        <f aca="false">IF(AND(AD$7=$I28,ISNUMBER($I28)),"◆","")</f>
        <v/>
      </c>
      <c r="AE28" s="57" t="str">
        <f aca="false">IF(AND(AE$7=$I28,ISNUMBER($I28)),"◆","")</f>
        <v/>
      </c>
      <c r="AF28" s="57" t="str">
        <f aca="false">IF(AND(AF$7=$I28,ISNUMBER($I28)),"◆","")</f>
        <v/>
      </c>
      <c r="AG28" s="57" t="str">
        <f aca="false">IF(AND(AG$7=$I28,ISNUMBER($I28)),"◆","")</f>
        <v/>
      </c>
      <c r="AH28" s="57" t="str">
        <f aca="false">IF(AND(AH$7=$I28,ISNUMBER($I28)),"◆","")</f>
        <v/>
      </c>
      <c r="AI28" s="57" t="str">
        <f aca="false">IF(AND(AI$7=$I28,ISNUMBER($I28)),"◆","")</f>
        <v/>
      </c>
      <c r="AJ28" s="57" t="str">
        <f aca="false">IF(AND(AJ$7=$I28,ISNUMBER($I28)),"◆","")</f>
        <v/>
      </c>
      <c r="AK28" s="57" t="str">
        <f aca="false">IF(AND(AK$7=$I28,ISNUMBER($I28)),"◆","")</f>
        <v/>
      </c>
      <c r="AL28" s="57" t="str">
        <f aca="false">IF(AND(AL$7=$I28,ISNUMBER($I28)),"◆","")</f>
        <v/>
      </c>
      <c r="AM28" s="57" t="str">
        <f aca="false">IF(AND(AM$7=$I28,ISNUMBER($I28)),"◆","")</f>
        <v/>
      </c>
      <c r="AN28" s="57" t="str">
        <f aca="false">IF(AND(AN$7=$I28,ISNUMBER($I28)),"◆","")</f>
        <v/>
      </c>
      <c r="AO28" s="57" t="str">
        <f aca="false">IF(AND(AO$7=$I28,ISNUMBER($I28)),"◆","")</f>
        <v/>
      </c>
      <c r="AP28" s="57" t="str">
        <f aca="false">IF(AND(AP$7=$I28,ISNUMBER($I28)),"◆","")</f>
        <v/>
      </c>
      <c r="AQ28" s="57" t="str">
        <f aca="false">IF(AND(AQ$7=$I28,ISNUMBER($I28)),"◆","")</f>
        <v/>
      </c>
      <c r="AR28" s="57" t="str">
        <f aca="false">IF(AND(AR$7=$I28,ISNUMBER($I28)),"◆","")</f>
        <v/>
      </c>
      <c r="AS28" s="57" t="str">
        <f aca="false">IF(AND(AS$7=$I28,ISNUMBER($I28)),"◆","")</f>
        <v/>
      </c>
      <c r="AT28" s="57" t="str">
        <f aca="false">IF(AND(AT$7=$I28,ISNUMBER($I28)),"◆","")</f>
        <v/>
      </c>
      <c r="AU28" s="57" t="str">
        <f aca="false">IF(AND(AU$7=$I28,ISNUMBER($I28)),"◆","")</f>
        <v/>
      </c>
      <c r="AV28" s="57" t="str">
        <f aca="false">IF(AND(AV$7=$I28,ISNUMBER($I28)),"◆","")</f>
        <v/>
      </c>
      <c r="AW28" s="57" t="str">
        <f aca="false">IF(AND(AW$7=$I28,ISNUMBER($I28)),"◆","")</f>
        <v/>
      </c>
      <c r="AX28" s="57" t="str">
        <f aca="false">IF(AND(AX$7=$I28,ISNUMBER($I28)),"◆","")</f>
        <v/>
      </c>
      <c r="AY28" s="57" t="str">
        <f aca="false">IF(AND(AY$7=$I28,ISNUMBER($I28)),"◆","")</f>
        <v/>
      </c>
      <c r="AZ28" s="57" t="str">
        <f aca="false">IF(AND(AZ$7=$I28,ISNUMBER($I28)),"◆","")</f>
        <v/>
      </c>
      <c r="BA28" s="57" t="str">
        <f aca="false">IF(AND(BA$7=$I28,ISNUMBER($I28)),"◆","")</f>
        <v/>
      </c>
      <c r="BB28" s="57" t="str">
        <f aca="false">IF(AND(BB$7=$I28,ISNUMBER($I28)),"◆","")</f>
        <v/>
      </c>
      <c r="BC28" s="57" t="str">
        <f aca="false">IF(AND(BC$7=$I28,ISNUMBER($I28)),"◆","")</f>
        <v/>
      </c>
      <c r="BD28" s="57" t="str">
        <f aca="false">IF(AND(BD$7=$I28,ISNUMBER($I28)),"◆","")</f>
        <v/>
      </c>
      <c r="BE28" s="57" t="str">
        <f aca="false">IF(AND(BE$7=$I28,ISNUMBER($I28)),"◆","")</f>
        <v/>
      </c>
      <c r="BF28" s="57" t="str">
        <f aca="false">IF(AND(BF$7=$I28,ISNUMBER($I28)),"◆","")</f>
        <v/>
      </c>
      <c r="BG28" s="57" t="str">
        <f aca="false">IF(AND(BG$7=$I28,ISNUMBER($I28)),"◆","")</f>
        <v/>
      </c>
      <c r="BH28" s="57" t="str">
        <f aca="false">IF(AND(BH$7=$I28,ISNUMBER($I28)),"◆","")</f>
        <v/>
      </c>
      <c r="BI28" s="57" t="str">
        <f aca="false">IF(AND(BI$7=$I28,ISNUMBER($I28)),"◆","")</f>
        <v/>
      </c>
      <c r="BJ28" s="57" t="str">
        <f aca="false">IF(AND(BJ$7=$I28,ISNUMBER($I28)),"◆","")</f>
        <v/>
      </c>
      <c r="BK28" s="57" t="str">
        <f aca="false">IF(AND(BK$7=$I28,ISNUMBER($I28)),"◆","")</f>
        <v/>
      </c>
      <c r="BL28" s="57" t="str">
        <f aca="false">IF(AND(BL$7=$I28,ISNUMBER($I28)),"◆","")</f>
        <v/>
      </c>
      <c r="BM28" s="57" t="str">
        <f aca="false">IF(AND(BM$7=$I28,ISNUMBER($I28)),"◆","")</f>
        <v/>
      </c>
      <c r="BN28" s="57" t="str">
        <f aca="false">IF(AND(BN$7=$I28,ISNUMBER($I28)),"◆","")</f>
        <v/>
      </c>
      <c r="BO28" s="57" t="str">
        <f aca="false">IF(AND(BO$7=$I28,ISNUMBER($I28)),"◆","")</f>
        <v/>
      </c>
      <c r="BP28" s="57" t="str">
        <f aca="false">IF(AND(BP$7=$I28,ISNUMBER($I28)),"◆","")</f>
        <v/>
      </c>
      <c r="BQ28" s="57" t="str">
        <f aca="false">IF(AND(BQ$7=$I28,ISNUMBER($I28)),"◆","")</f>
        <v/>
      </c>
      <c r="BR28" s="57" t="str">
        <f aca="false">IF(AND(BR$7=$I28,ISNUMBER($I28)),"◆","")</f>
        <v/>
      </c>
      <c r="BS28" s="57" t="str">
        <f aca="false">IF(AND(BS$7=$I28,ISNUMBER($I28)),"◆","")</f>
        <v/>
      </c>
      <c r="BT28" s="57" t="str">
        <f aca="false">IF(AND(BT$7=$I28,ISNUMBER($I28)),"◆","")</f>
        <v/>
      </c>
      <c r="BU28" s="57" t="str">
        <f aca="false">IF(AND(BU$7=$I28,ISNUMBER($I28)),"◆","")</f>
        <v/>
      </c>
      <c r="BV28" s="57" t="str">
        <f aca="false">IF(AND(BV$7=$I28,ISNUMBER($I28)),"◆","")</f>
        <v/>
      </c>
      <c r="BW28" s="57" t="str">
        <f aca="false">IF(AND(BW$7=$I28,ISNUMBER($I28)),"◆","")</f>
        <v/>
      </c>
      <c r="BX28" s="57" t="str">
        <f aca="false">IF(AND(BX$7=$I28,ISNUMBER($I28)),"◆","")</f>
        <v/>
      </c>
      <c r="BY28" s="57" t="str">
        <f aca="false">IF(AND(BY$7=$I28,ISNUMBER($I28)),"◆","")</f>
        <v/>
      </c>
      <c r="BZ28" s="57" t="str">
        <f aca="false">IF(AND(BZ$7=$I28,ISNUMBER($I28)),"◆","")</f>
        <v/>
      </c>
      <c r="CA28" s="57" t="str">
        <f aca="false">IF(AND(CA$7=$I28,ISNUMBER($I28)),"◆","")</f>
        <v/>
      </c>
      <c r="CB28" s="57" t="str">
        <f aca="false">IF(AND(CB$7=$I28,ISNUMBER($I28)),"◆","")</f>
        <v/>
      </c>
      <c r="CC28" s="57" t="str">
        <f aca="false">IF(AND(CC$7=$I28,ISNUMBER($I28)),"◆","")</f>
        <v/>
      </c>
      <c r="CD28" s="57" t="str">
        <f aca="false">IF(AND(CD$7=$I28,ISNUMBER($I28)),"◆","")</f>
        <v/>
      </c>
      <c r="CE28" s="57" t="str">
        <f aca="false">IF(AND(CE$7=$I28,ISNUMBER($I28)),"◆","")</f>
        <v/>
      </c>
      <c r="CF28" s="57" t="str">
        <f aca="false">IF(AND(CF$7=$I28,ISNUMBER($I28)),"◆","")</f>
        <v/>
      </c>
      <c r="CG28" s="57" t="str">
        <f aca="false">IF(AND(CG$7=$I28,ISNUMBER($I28)),"◆","")</f>
        <v/>
      </c>
      <c r="CH28" s="57" t="str">
        <f aca="false">IF(AND(CH$7=$I28,ISNUMBER($I28)),"◆","")</f>
        <v/>
      </c>
      <c r="CI28" s="57" t="str">
        <f aca="false">IF(AND(CI$7=$I28,ISNUMBER($I28)),"◆","")</f>
        <v/>
      </c>
      <c r="CJ28" s="57" t="str">
        <f aca="false">IF(AND(CJ$7=$I28,ISNUMBER($I28)),"◆","")</f>
        <v/>
      </c>
      <c r="CK28" s="57" t="str">
        <f aca="false">IF(AND(CK$7=$I28,ISNUMBER($I28)),"◆","")</f>
        <v/>
      </c>
      <c r="CL28" s="57" t="str">
        <f aca="false">IF(AND(CL$7=$I28,ISNUMBER($I28)),"◆","")</f>
        <v/>
      </c>
      <c r="CM28" s="57" t="str">
        <f aca="false">IF(AND(CM$7=$I28,ISNUMBER($I28)),"◆","")</f>
        <v/>
      </c>
      <c r="CN28" s="57" t="str">
        <f aca="false">IF(AND(CN$7=$I28,ISNUMBER($I28)),"◆","")</f>
        <v/>
      </c>
      <c r="CO28" s="57" t="str">
        <f aca="false">IF(AND(CO$7=$I28,ISNUMBER($I28)),"◆","")</f>
        <v/>
      </c>
      <c r="CP28" s="57" t="str">
        <f aca="false">IF(AND(CP$7=$I28,ISNUMBER($I28)),"◆","")</f>
        <v/>
      </c>
      <c r="CQ28" s="57" t="str">
        <f aca="false">IF(AND(CQ$7=$I28,ISNUMBER($I28)),"◆","")</f>
        <v/>
      </c>
      <c r="CR28" s="57" t="str">
        <f aca="false">IF(AND(CR$7=$I28,ISNUMBER($I28)),"◆","")</f>
        <v/>
      </c>
      <c r="CS28" s="57" t="str">
        <f aca="false">IF(AND(CS$7=$I28,ISNUMBER($I28)),"◆","")</f>
        <v/>
      </c>
      <c r="CT28" s="57" t="str">
        <f aca="false">IF(AND(CT$7=$I28,ISNUMBER($I28)),"◆","")</f>
        <v/>
      </c>
      <c r="CU28" s="57" t="str">
        <f aca="false">IF(AND(CU$7=$I28,ISNUMBER($I28)),"◆","")</f>
        <v/>
      </c>
      <c r="CV28" s="57" t="str">
        <f aca="false">IF(AND(CV$7=$I28,ISNUMBER($I28)),"◆","")</f>
        <v/>
      </c>
      <c r="CW28" s="57" t="str">
        <f aca="false">IF(AND(CW$7=$I28,ISNUMBER($I28)),"◆","")</f>
        <v/>
      </c>
      <c r="CX28" s="57" t="str">
        <f aca="false">IF(AND(CX$7=$I28,ISNUMBER($I28)),"◆","")</f>
        <v/>
      </c>
      <c r="CY28" s="57" t="str">
        <f aca="false">IF(AND(CY$7=$I28,ISNUMBER($I28)),"◆","")</f>
        <v/>
      </c>
      <c r="CZ28" s="57" t="str">
        <f aca="false">IF(AND(CZ$7=$I28,ISNUMBER($I28)),"◆","")</f>
        <v/>
      </c>
      <c r="DA28" s="57" t="str">
        <f aca="false">IF(AND(DA$7=$I28,ISNUMBER($I28)),"◆","")</f>
        <v/>
      </c>
      <c r="DB28" s="57" t="str">
        <f aca="false">IF(AND(DB$7=$I28,ISNUMBER($I28)),"◆","")</f>
        <v/>
      </c>
      <c r="DC28" s="57" t="str">
        <f aca="false">IF(AND(DC$7=$I28,ISNUMBER($I28)),"◆","")</f>
        <v/>
      </c>
      <c r="DD28" s="57" t="str">
        <f aca="false">IF(AND(DD$7=$I28,ISNUMBER($I28)),"◆","")</f>
        <v/>
      </c>
      <c r="DE28" s="57" t="str">
        <f aca="false">IF(AND(DE$7=$I28,ISNUMBER($I28)),"◆","")</f>
        <v/>
      </c>
      <c r="DF28" s="57" t="str">
        <f aca="false">IF(AND(DF$7=$I28,ISNUMBER($I28)),"◆","")</f>
        <v/>
      </c>
      <c r="DG28" s="57" t="str">
        <f aca="false">IF(AND(DG$7=$I28,ISNUMBER($I28)),"◆","")</f>
        <v/>
      </c>
      <c r="DH28" s="57" t="str">
        <f aca="false">IF(AND(DH$7=$I28,ISNUMBER($I28)),"◆","")</f>
        <v/>
      </c>
      <c r="DI28" s="57" t="str">
        <f aca="false">IF(AND(DI$7=$I28,ISNUMBER($I28)),"◆","")</f>
        <v/>
      </c>
      <c r="DJ28" s="57" t="str">
        <f aca="false">IF(AND(DJ$7=$I28,ISNUMBER($I28)),"◆","")</f>
        <v/>
      </c>
      <c r="DK28" s="57" t="str">
        <f aca="false">IF(AND(DK$7=$I28,ISNUMBER($I28)),"◆","")</f>
        <v/>
      </c>
      <c r="DL28" s="57" t="str">
        <f aca="false">IF(AND(DL$7=$I28,ISNUMBER($I28)),"◆","")</f>
        <v/>
      </c>
      <c r="DM28" s="57" t="str">
        <f aca="false">IF(AND(DM$7=$I28,ISNUMBER($I28)),"◆","")</f>
        <v/>
      </c>
      <c r="DN28" s="57" t="str">
        <f aca="false">IF(AND(DN$7=$I28,ISNUMBER($I28)),"◆","")</f>
        <v/>
      </c>
      <c r="DO28" s="57" t="str">
        <f aca="false">IF(AND(DO$7=$I28,ISNUMBER($I28)),"◆","")</f>
        <v/>
      </c>
      <c r="DP28" s="57" t="str">
        <f aca="false">IF(AND(DP$7=$I28,ISNUMBER($I28)),"◆","")</f>
        <v/>
      </c>
      <c r="DQ28" s="57" t="str">
        <f aca="false">IF(AND(DQ$7=$I28,ISNUMBER($I28)),"◆","")</f>
        <v/>
      </c>
      <c r="DR28" s="57" t="str">
        <f aca="false">IF(AND(DR$7=$I28,ISNUMBER($I28)),"◆","")</f>
        <v/>
      </c>
      <c r="DS28" s="57" t="str">
        <f aca="false">IF(AND(DS$7=$I28,ISNUMBER($I28)),"◆","")</f>
        <v/>
      </c>
      <c r="DT28" s="57" t="str">
        <f aca="false">IF(AND(DT$7=$I28,ISNUMBER($I28)),"◆","")</f>
        <v/>
      </c>
      <c r="DU28" s="57" t="str">
        <f aca="false">IF(AND(DU$7=$I28,ISNUMBER($I28)),"◆","")</f>
        <v/>
      </c>
      <c r="DV28" s="57" t="str">
        <f aca="false">IF(AND(DV$7=$I28,ISNUMBER($I28)),"◆","")</f>
        <v/>
      </c>
      <c r="DW28" s="57" t="str">
        <f aca="false">IF(AND(DW$7=$I28,ISNUMBER($I28)),"◆","")</f>
        <v/>
      </c>
      <c r="DX28" s="57" t="str">
        <f aca="false">IF(AND(DX$7=$I28,ISNUMBER($I28)),"◆","")</f>
        <v/>
      </c>
      <c r="DY28" s="57" t="str">
        <f aca="false">IF(AND(DY$7=$I28,ISNUMBER($I28)),"◆","")</f>
        <v/>
      </c>
      <c r="DZ28" s="57" t="str">
        <f aca="false">IF(AND(DZ$7=$I28,ISNUMBER($I28)),"◆","")</f>
        <v/>
      </c>
      <c r="EA28" s="57" t="str">
        <f aca="false">IF(AND(EA$7=$I28,ISNUMBER($I28)),"◆","")</f>
        <v/>
      </c>
      <c r="EB28" s="57" t="str">
        <f aca="false">IF(AND(EB$7=$I28,ISNUMBER($I28)),"◆","")</f>
        <v/>
      </c>
      <c r="EC28" s="57" t="str">
        <f aca="false">IF(AND(EC$7=$I28,ISNUMBER($I28)),"◆","")</f>
        <v/>
      </c>
      <c r="ED28" s="57" t="str">
        <f aca="false">IF(AND(ED$7=$I28,ISNUMBER($I28)),"◆","")</f>
        <v/>
      </c>
      <c r="EE28" s="57" t="str">
        <f aca="false">IF(AND(EE$7=$I28,ISNUMBER($I28)),"◆","")</f>
        <v/>
      </c>
      <c r="EF28" s="57" t="str">
        <f aca="false">IF(AND(EF$7=$I28,ISNUMBER($I28)),"◆","")</f>
        <v/>
      </c>
      <c r="EG28" s="57" t="str">
        <f aca="false">IF(AND(EG$7=$I28,ISNUMBER($I28)),"◆","")</f>
        <v/>
      </c>
      <c r="EH28" s="57" t="str">
        <f aca="false">IF(AND(EH$7=$I28,ISNUMBER($I28)),"◆","")</f>
        <v/>
      </c>
      <c r="EI28" s="57" t="str">
        <f aca="false">IF(AND(EI$7=$I28,ISNUMBER($I28)),"◆","")</f>
        <v/>
      </c>
      <c r="EJ28" s="57" t="str">
        <f aca="false">IF(AND(EJ$7=$I28,ISNUMBER($I28)),"◆","")</f>
        <v/>
      </c>
      <c r="EK28" s="57" t="str">
        <f aca="false">IF(AND(EK$7=$I28,ISNUMBER($I28)),"◆","")</f>
        <v/>
      </c>
      <c r="EL28" s="57" t="str">
        <f aca="false">IF(AND(EL$7=$I28,ISNUMBER($I28)),"◆","")</f>
        <v/>
      </c>
      <c r="EM28" s="57" t="str">
        <f aca="false">IF(AND(EM$7=$I28,ISNUMBER($I28)),"◆","")</f>
        <v/>
      </c>
    </row>
    <row r="29" customFormat="false" ht="21.75" hidden="false" customHeight="true" outlineLevel="0" collapsed="false">
      <c r="A29" s="45" t="s">
        <v>78</v>
      </c>
      <c r="B29" s="45"/>
      <c r="C29" s="45"/>
      <c r="D29" s="45"/>
      <c r="E29" s="45"/>
      <c r="F29" s="46" t="s">
        <v>74</v>
      </c>
      <c r="G29" s="47" t="n">
        <f aca="false">MIN(制作工程表!G24:G26)</f>
        <v>46392</v>
      </c>
      <c r="H29" s="47" t="n">
        <f aca="false">MAX(制作工程表!H24:H26)</f>
        <v>46420</v>
      </c>
      <c r="I29" s="47" t="n">
        <f aca="false">IF(MAX(制作工程表!I24:I26)=0,"—",MAX(制作工程表!I24:I26))</f>
        <v>46413</v>
      </c>
      <c r="J29" s="48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  <c r="CK29" s="49"/>
      <c r="CL29" s="49"/>
      <c r="CM29" s="49"/>
      <c r="CN29" s="49"/>
      <c r="CO29" s="49"/>
      <c r="CP29" s="49"/>
      <c r="CQ29" s="49"/>
      <c r="CR29" s="49"/>
      <c r="CS29" s="49"/>
      <c r="CT29" s="49"/>
      <c r="CU29" s="49"/>
      <c r="CV29" s="49"/>
      <c r="CW29" s="49"/>
      <c r="CX29" s="49"/>
      <c r="CY29" s="49"/>
      <c r="CZ29" s="49"/>
      <c r="DA29" s="49"/>
      <c r="DB29" s="49"/>
      <c r="DC29" s="49"/>
      <c r="DD29" s="49"/>
      <c r="DE29" s="49"/>
      <c r="DF29" s="49"/>
      <c r="DG29" s="49"/>
      <c r="DH29" s="49"/>
      <c r="DI29" s="49"/>
      <c r="DJ29" s="49"/>
      <c r="DK29" s="49"/>
      <c r="DL29" s="49"/>
      <c r="DM29" s="49"/>
      <c r="DN29" s="49"/>
      <c r="DO29" s="49"/>
      <c r="DP29" s="49"/>
      <c r="DQ29" s="49"/>
      <c r="DR29" s="49"/>
      <c r="DS29" s="49"/>
      <c r="DT29" s="49"/>
      <c r="DU29" s="49"/>
      <c r="DV29" s="49"/>
      <c r="DW29" s="49"/>
      <c r="DX29" s="49"/>
      <c r="DY29" s="49"/>
      <c r="DZ29" s="49"/>
      <c r="EA29" s="49"/>
      <c r="EB29" s="49"/>
      <c r="EC29" s="49"/>
      <c r="ED29" s="49"/>
      <c r="EE29" s="49"/>
      <c r="EF29" s="49"/>
      <c r="EG29" s="49"/>
      <c r="EH29" s="49"/>
      <c r="EI29" s="49"/>
      <c r="EJ29" s="49"/>
      <c r="EK29" s="49"/>
      <c r="EL29" s="49"/>
      <c r="EM29" s="49"/>
    </row>
    <row r="30" customFormat="false" ht="25.5" hidden="false" customHeight="true" outlineLevel="0" collapsed="false">
      <c r="A30" s="50" t="str">
        <f aca="false">制作工程表!A24</f>
        <v>T16</v>
      </c>
      <c r="B30" s="51" t="str">
        <f aca="false">制作工程表!B24</f>
        <v>デザイン</v>
      </c>
      <c r="C30" s="52" t="str">
        <f aca="false">制作工程表!C24</f>
        <v>トップ・代表下層のデザイン</v>
      </c>
      <c r="D30" s="53" t="str">
        <f aca="false">制作工程表!D24</f>
        <v>デザイナー</v>
      </c>
      <c r="E30" s="53" t="str">
        <f aca="false">制作工程表!E24</f>
        <v>—</v>
      </c>
      <c r="F30" s="54" t="str">
        <f aca="false">IF(制作工程表!B24="取材撮影","撮影",IF(OR(制作工程表!D24="総務窓口",制作工程表!D24="工場長",制作工程表!D24="代表",制作工程表!D24="営業・生産管理"),"企業","制作"))</f>
        <v>制作</v>
      </c>
      <c r="G30" s="55" t="n">
        <f aca="false">制作工程表!G24</f>
        <v>46392</v>
      </c>
      <c r="H30" s="55" t="n">
        <f aca="false">制作工程表!H24</f>
        <v>46402</v>
      </c>
      <c r="I30" s="56" t="str">
        <f aca="false">制作工程表!I24</f>
        <v>—</v>
      </c>
      <c r="J30" s="51" t="str">
        <f aca="false">制作工程表!K24</f>
        <v>未着手</v>
      </c>
      <c r="K30" s="57" t="str">
        <f aca="false">IF(AND(K$7=$I30,ISNUMBER($I30)),"◆","")</f>
        <v/>
      </c>
      <c r="L30" s="57" t="str">
        <f aca="false">IF(AND(L$7=$I30,ISNUMBER($I30)),"◆","")</f>
        <v/>
      </c>
      <c r="M30" s="57" t="str">
        <f aca="false">IF(AND(M$7=$I30,ISNUMBER($I30)),"◆","")</f>
        <v/>
      </c>
      <c r="N30" s="57" t="str">
        <f aca="false">IF(AND(N$7=$I30,ISNUMBER($I30)),"◆","")</f>
        <v/>
      </c>
      <c r="O30" s="57" t="str">
        <f aca="false">IF(AND(O$7=$I30,ISNUMBER($I30)),"◆","")</f>
        <v/>
      </c>
      <c r="P30" s="57" t="str">
        <f aca="false">IF(AND(P$7=$I30,ISNUMBER($I30)),"◆","")</f>
        <v/>
      </c>
      <c r="Q30" s="57" t="str">
        <f aca="false">IF(AND(Q$7=$I30,ISNUMBER($I30)),"◆","")</f>
        <v/>
      </c>
      <c r="R30" s="57" t="str">
        <f aca="false">IF(AND(R$7=$I30,ISNUMBER($I30)),"◆","")</f>
        <v/>
      </c>
      <c r="S30" s="57" t="str">
        <f aca="false">IF(AND(S$7=$I30,ISNUMBER($I30)),"◆","")</f>
        <v/>
      </c>
      <c r="T30" s="57" t="str">
        <f aca="false">IF(AND(T$7=$I30,ISNUMBER($I30)),"◆","")</f>
        <v/>
      </c>
      <c r="U30" s="57" t="str">
        <f aca="false">IF(AND(U$7=$I30,ISNUMBER($I30)),"◆","")</f>
        <v/>
      </c>
      <c r="V30" s="57" t="str">
        <f aca="false">IF(AND(V$7=$I30,ISNUMBER($I30)),"◆","")</f>
        <v/>
      </c>
      <c r="W30" s="57" t="str">
        <f aca="false">IF(AND(W$7=$I30,ISNUMBER($I30)),"◆","")</f>
        <v/>
      </c>
      <c r="X30" s="57" t="str">
        <f aca="false">IF(AND(X$7=$I30,ISNUMBER($I30)),"◆","")</f>
        <v/>
      </c>
      <c r="Y30" s="57" t="str">
        <f aca="false">IF(AND(Y$7=$I30,ISNUMBER($I30)),"◆","")</f>
        <v/>
      </c>
      <c r="Z30" s="57" t="str">
        <f aca="false">IF(AND(Z$7=$I30,ISNUMBER($I30)),"◆","")</f>
        <v/>
      </c>
      <c r="AA30" s="57" t="str">
        <f aca="false">IF(AND(AA$7=$I30,ISNUMBER($I30)),"◆","")</f>
        <v/>
      </c>
      <c r="AB30" s="57" t="str">
        <f aca="false">IF(AND(AB$7=$I30,ISNUMBER($I30)),"◆","")</f>
        <v/>
      </c>
      <c r="AC30" s="57" t="str">
        <f aca="false">IF(AND(AC$7=$I30,ISNUMBER($I30)),"◆","")</f>
        <v/>
      </c>
      <c r="AD30" s="57" t="str">
        <f aca="false">IF(AND(AD$7=$I30,ISNUMBER($I30)),"◆","")</f>
        <v/>
      </c>
      <c r="AE30" s="57" t="str">
        <f aca="false">IF(AND(AE$7=$I30,ISNUMBER($I30)),"◆","")</f>
        <v/>
      </c>
      <c r="AF30" s="57" t="str">
        <f aca="false">IF(AND(AF$7=$I30,ISNUMBER($I30)),"◆","")</f>
        <v/>
      </c>
      <c r="AG30" s="57" t="str">
        <f aca="false">IF(AND(AG$7=$I30,ISNUMBER($I30)),"◆","")</f>
        <v/>
      </c>
      <c r="AH30" s="57" t="str">
        <f aca="false">IF(AND(AH$7=$I30,ISNUMBER($I30)),"◆","")</f>
        <v/>
      </c>
      <c r="AI30" s="57" t="str">
        <f aca="false">IF(AND(AI$7=$I30,ISNUMBER($I30)),"◆","")</f>
        <v/>
      </c>
      <c r="AJ30" s="57" t="str">
        <f aca="false">IF(AND(AJ$7=$I30,ISNUMBER($I30)),"◆","")</f>
        <v/>
      </c>
      <c r="AK30" s="57" t="str">
        <f aca="false">IF(AND(AK$7=$I30,ISNUMBER($I30)),"◆","")</f>
        <v/>
      </c>
      <c r="AL30" s="57" t="str">
        <f aca="false">IF(AND(AL$7=$I30,ISNUMBER($I30)),"◆","")</f>
        <v/>
      </c>
      <c r="AM30" s="57" t="str">
        <f aca="false">IF(AND(AM$7=$I30,ISNUMBER($I30)),"◆","")</f>
        <v/>
      </c>
      <c r="AN30" s="57" t="str">
        <f aca="false">IF(AND(AN$7=$I30,ISNUMBER($I30)),"◆","")</f>
        <v/>
      </c>
      <c r="AO30" s="57" t="str">
        <f aca="false">IF(AND(AO$7=$I30,ISNUMBER($I30)),"◆","")</f>
        <v/>
      </c>
      <c r="AP30" s="57" t="str">
        <f aca="false">IF(AND(AP$7=$I30,ISNUMBER($I30)),"◆","")</f>
        <v/>
      </c>
      <c r="AQ30" s="57" t="str">
        <f aca="false">IF(AND(AQ$7=$I30,ISNUMBER($I30)),"◆","")</f>
        <v/>
      </c>
      <c r="AR30" s="57" t="str">
        <f aca="false">IF(AND(AR$7=$I30,ISNUMBER($I30)),"◆","")</f>
        <v/>
      </c>
      <c r="AS30" s="57" t="str">
        <f aca="false">IF(AND(AS$7=$I30,ISNUMBER($I30)),"◆","")</f>
        <v/>
      </c>
      <c r="AT30" s="57" t="str">
        <f aca="false">IF(AND(AT$7=$I30,ISNUMBER($I30)),"◆","")</f>
        <v/>
      </c>
      <c r="AU30" s="57" t="str">
        <f aca="false">IF(AND(AU$7=$I30,ISNUMBER($I30)),"◆","")</f>
        <v/>
      </c>
      <c r="AV30" s="57" t="str">
        <f aca="false">IF(AND(AV$7=$I30,ISNUMBER($I30)),"◆","")</f>
        <v/>
      </c>
      <c r="AW30" s="57" t="str">
        <f aca="false">IF(AND(AW$7=$I30,ISNUMBER($I30)),"◆","")</f>
        <v/>
      </c>
      <c r="AX30" s="57" t="str">
        <f aca="false">IF(AND(AX$7=$I30,ISNUMBER($I30)),"◆","")</f>
        <v/>
      </c>
      <c r="AY30" s="57" t="str">
        <f aca="false">IF(AND(AY$7=$I30,ISNUMBER($I30)),"◆","")</f>
        <v/>
      </c>
      <c r="AZ30" s="57" t="str">
        <f aca="false">IF(AND(AZ$7=$I30,ISNUMBER($I30)),"◆","")</f>
        <v/>
      </c>
      <c r="BA30" s="57" t="str">
        <f aca="false">IF(AND(BA$7=$I30,ISNUMBER($I30)),"◆","")</f>
        <v/>
      </c>
      <c r="BB30" s="57" t="str">
        <f aca="false">IF(AND(BB$7=$I30,ISNUMBER($I30)),"◆","")</f>
        <v/>
      </c>
      <c r="BC30" s="57" t="str">
        <f aca="false">IF(AND(BC$7=$I30,ISNUMBER($I30)),"◆","")</f>
        <v/>
      </c>
      <c r="BD30" s="57" t="str">
        <f aca="false">IF(AND(BD$7=$I30,ISNUMBER($I30)),"◆","")</f>
        <v/>
      </c>
      <c r="BE30" s="57" t="str">
        <f aca="false">IF(AND(BE$7=$I30,ISNUMBER($I30)),"◆","")</f>
        <v/>
      </c>
      <c r="BF30" s="57" t="str">
        <f aca="false">IF(AND(BF$7=$I30,ISNUMBER($I30)),"◆","")</f>
        <v/>
      </c>
      <c r="BG30" s="57" t="str">
        <f aca="false">IF(AND(BG$7=$I30,ISNUMBER($I30)),"◆","")</f>
        <v/>
      </c>
      <c r="BH30" s="57" t="str">
        <f aca="false">IF(AND(BH$7=$I30,ISNUMBER($I30)),"◆","")</f>
        <v/>
      </c>
      <c r="BI30" s="57" t="str">
        <f aca="false">IF(AND(BI$7=$I30,ISNUMBER($I30)),"◆","")</f>
        <v/>
      </c>
      <c r="BJ30" s="57" t="str">
        <f aca="false">IF(AND(BJ$7=$I30,ISNUMBER($I30)),"◆","")</f>
        <v/>
      </c>
      <c r="BK30" s="57" t="str">
        <f aca="false">IF(AND(BK$7=$I30,ISNUMBER($I30)),"◆","")</f>
        <v/>
      </c>
      <c r="BL30" s="57" t="str">
        <f aca="false">IF(AND(BL$7=$I30,ISNUMBER($I30)),"◆","")</f>
        <v/>
      </c>
      <c r="BM30" s="57" t="str">
        <f aca="false">IF(AND(BM$7=$I30,ISNUMBER($I30)),"◆","")</f>
        <v/>
      </c>
      <c r="BN30" s="57" t="str">
        <f aca="false">IF(AND(BN$7=$I30,ISNUMBER($I30)),"◆","")</f>
        <v/>
      </c>
      <c r="BO30" s="57" t="str">
        <f aca="false">IF(AND(BO$7=$I30,ISNUMBER($I30)),"◆","")</f>
        <v/>
      </c>
      <c r="BP30" s="57" t="str">
        <f aca="false">IF(AND(BP$7=$I30,ISNUMBER($I30)),"◆","")</f>
        <v/>
      </c>
      <c r="BQ30" s="57" t="str">
        <f aca="false">IF(AND(BQ$7=$I30,ISNUMBER($I30)),"◆","")</f>
        <v/>
      </c>
      <c r="BR30" s="57" t="str">
        <f aca="false">IF(AND(BR$7=$I30,ISNUMBER($I30)),"◆","")</f>
        <v/>
      </c>
      <c r="BS30" s="57" t="str">
        <f aca="false">IF(AND(BS$7=$I30,ISNUMBER($I30)),"◆","")</f>
        <v/>
      </c>
      <c r="BT30" s="57" t="str">
        <f aca="false">IF(AND(BT$7=$I30,ISNUMBER($I30)),"◆","")</f>
        <v/>
      </c>
      <c r="BU30" s="57" t="str">
        <f aca="false">IF(AND(BU$7=$I30,ISNUMBER($I30)),"◆","")</f>
        <v/>
      </c>
      <c r="BV30" s="57" t="str">
        <f aca="false">IF(AND(BV$7=$I30,ISNUMBER($I30)),"◆","")</f>
        <v/>
      </c>
      <c r="BW30" s="57" t="str">
        <f aca="false">IF(AND(BW$7=$I30,ISNUMBER($I30)),"◆","")</f>
        <v/>
      </c>
      <c r="BX30" s="57" t="str">
        <f aca="false">IF(AND(BX$7=$I30,ISNUMBER($I30)),"◆","")</f>
        <v/>
      </c>
      <c r="BY30" s="57" t="str">
        <f aca="false">IF(AND(BY$7=$I30,ISNUMBER($I30)),"◆","")</f>
        <v/>
      </c>
      <c r="BZ30" s="57" t="str">
        <f aca="false">IF(AND(BZ$7=$I30,ISNUMBER($I30)),"◆","")</f>
        <v/>
      </c>
      <c r="CA30" s="57" t="str">
        <f aca="false">IF(AND(CA$7=$I30,ISNUMBER($I30)),"◆","")</f>
        <v/>
      </c>
      <c r="CB30" s="57" t="str">
        <f aca="false">IF(AND(CB$7=$I30,ISNUMBER($I30)),"◆","")</f>
        <v/>
      </c>
      <c r="CC30" s="57" t="str">
        <f aca="false">IF(AND(CC$7=$I30,ISNUMBER($I30)),"◆","")</f>
        <v/>
      </c>
      <c r="CD30" s="57" t="str">
        <f aca="false">IF(AND(CD$7=$I30,ISNUMBER($I30)),"◆","")</f>
        <v/>
      </c>
      <c r="CE30" s="57" t="str">
        <f aca="false">IF(AND(CE$7=$I30,ISNUMBER($I30)),"◆","")</f>
        <v/>
      </c>
      <c r="CF30" s="57" t="str">
        <f aca="false">IF(AND(CF$7=$I30,ISNUMBER($I30)),"◆","")</f>
        <v/>
      </c>
      <c r="CG30" s="57" t="str">
        <f aca="false">IF(AND(CG$7=$I30,ISNUMBER($I30)),"◆","")</f>
        <v/>
      </c>
      <c r="CH30" s="57" t="str">
        <f aca="false">IF(AND(CH$7=$I30,ISNUMBER($I30)),"◆","")</f>
        <v/>
      </c>
      <c r="CI30" s="57" t="str">
        <f aca="false">IF(AND(CI$7=$I30,ISNUMBER($I30)),"◆","")</f>
        <v/>
      </c>
      <c r="CJ30" s="57" t="str">
        <f aca="false">IF(AND(CJ$7=$I30,ISNUMBER($I30)),"◆","")</f>
        <v/>
      </c>
      <c r="CK30" s="57" t="str">
        <f aca="false">IF(AND(CK$7=$I30,ISNUMBER($I30)),"◆","")</f>
        <v/>
      </c>
      <c r="CL30" s="57" t="str">
        <f aca="false">IF(AND(CL$7=$I30,ISNUMBER($I30)),"◆","")</f>
        <v/>
      </c>
      <c r="CM30" s="57" t="str">
        <f aca="false">IF(AND(CM$7=$I30,ISNUMBER($I30)),"◆","")</f>
        <v/>
      </c>
      <c r="CN30" s="57" t="str">
        <f aca="false">IF(AND(CN$7=$I30,ISNUMBER($I30)),"◆","")</f>
        <v/>
      </c>
      <c r="CO30" s="57" t="str">
        <f aca="false">IF(AND(CO$7=$I30,ISNUMBER($I30)),"◆","")</f>
        <v/>
      </c>
      <c r="CP30" s="57" t="str">
        <f aca="false">IF(AND(CP$7=$I30,ISNUMBER($I30)),"◆","")</f>
        <v/>
      </c>
      <c r="CQ30" s="57" t="str">
        <f aca="false">IF(AND(CQ$7=$I30,ISNUMBER($I30)),"◆","")</f>
        <v/>
      </c>
      <c r="CR30" s="57" t="str">
        <f aca="false">IF(AND(CR$7=$I30,ISNUMBER($I30)),"◆","")</f>
        <v/>
      </c>
      <c r="CS30" s="57" t="str">
        <f aca="false">IF(AND(CS$7=$I30,ISNUMBER($I30)),"◆","")</f>
        <v/>
      </c>
      <c r="CT30" s="57" t="str">
        <f aca="false">IF(AND(CT$7=$I30,ISNUMBER($I30)),"◆","")</f>
        <v/>
      </c>
      <c r="CU30" s="57" t="str">
        <f aca="false">IF(AND(CU$7=$I30,ISNUMBER($I30)),"◆","")</f>
        <v/>
      </c>
      <c r="CV30" s="57" t="str">
        <f aca="false">IF(AND(CV$7=$I30,ISNUMBER($I30)),"◆","")</f>
        <v/>
      </c>
      <c r="CW30" s="57" t="str">
        <f aca="false">IF(AND(CW$7=$I30,ISNUMBER($I30)),"◆","")</f>
        <v/>
      </c>
      <c r="CX30" s="57" t="str">
        <f aca="false">IF(AND(CX$7=$I30,ISNUMBER($I30)),"◆","")</f>
        <v/>
      </c>
      <c r="CY30" s="57" t="str">
        <f aca="false">IF(AND(CY$7=$I30,ISNUMBER($I30)),"◆","")</f>
        <v/>
      </c>
      <c r="CZ30" s="57" t="str">
        <f aca="false">IF(AND(CZ$7=$I30,ISNUMBER($I30)),"◆","")</f>
        <v/>
      </c>
      <c r="DA30" s="57" t="str">
        <f aca="false">IF(AND(DA$7=$I30,ISNUMBER($I30)),"◆","")</f>
        <v/>
      </c>
      <c r="DB30" s="57" t="str">
        <f aca="false">IF(AND(DB$7=$I30,ISNUMBER($I30)),"◆","")</f>
        <v/>
      </c>
      <c r="DC30" s="57" t="str">
        <f aca="false">IF(AND(DC$7=$I30,ISNUMBER($I30)),"◆","")</f>
        <v/>
      </c>
      <c r="DD30" s="57" t="str">
        <f aca="false">IF(AND(DD$7=$I30,ISNUMBER($I30)),"◆","")</f>
        <v/>
      </c>
      <c r="DE30" s="57" t="str">
        <f aca="false">IF(AND(DE$7=$I30,ISNUMBER($I30)),"◆","")</f>
        <v/>
      </c>
      <c r="DF30" s="57" t="str">
        <f aca="false">IF(AND(DF$7=$I30,ISNUMBER($I30)),"◆","")</f>
        <v/>
      </c>
      <c r="DG30" s="57" t="str">
        <f aca="false">IF(AND(DG$7=$I30,ISNUMBER($I30)),"◆","")</f>
        <v/>
      </c>
      <c r="DH30" s="57" t="str">
        <f aca="false">IF(AND(DH$7=$I30,ISNUMBER($I30)),"◆","")</f>
        <v/>
      </c>
      <c r="DI30" s="57" t="str">
        <f aca="false">IF(AND(DI$7=$I30,ISNUMBER($I30)),"◆","")</f>
        <v/>
      </c>
      <c r="DJ30" s="57" t="str">
        <f aca="false">IF(AND(DJ$7=$I30,ISNUMBER($I30)),"◆","")</f>
        <v/>
      </c>
      <c r="DK30" s="57" t="str">
        <f aca="false">IF(AND(DK$7=$I30,ISNUMBER($I30)),"◆","")</f>
        <v/>
      </c>
      <c r="DL30" s="57" t="str">
        <f aca="false">IF(AND(DL$7=$I30,ISNUMBER($I30)),"◆","")</f>
        <v/>
      </c>
      <c r="DM30" s="57" t="str">
        <f aca="false">IF(AND(DM$7=$I30,ISNUMBER($I30)),"◆","")</f>
        <v/>
      </c>
      <c r="DN30" s="57" t="str">
        <f aca="false">IF(AND(DN$7=$I30,ISNUMBER($I30)),"◆","")</f>
        <v/>
      </c>
      <c r="DO30" s="57" t="str">
        <f aca="false">IF(AND(DO$7=$I30,ISNUMBER($I30)),"◆","")</f>
        <v/>
      </c>
      <c r="DP30" s="57" t="str">
        <f aca="false">IF(AND(DP$7=$I30,ISNUMBER($I30)),"◆","")</f>
        <v/>
      </c>
      <c r="DQ30" s="57" t="str">
        <f aca="false">IF(AND(DQ$7=$I30,ISNUMBER($I30)),"◆","")</f>
        <v/>
      </c>
      <c r="DR30" s="57" t="str">
        <f aca="false">IF(AND(DR$7=$I30,ISNUMBER($I30)),"◆","")</f>
        <v/>
      </c>
      <c r="DS30" s="57" t="str">
        <f aca="false">IF(AND(DS$7=$I30,ISNUMBER($I30)),"◆","")</f>
        <v/>
      </c>
      <c r="DT30" s="57" t="str">
        <f aca="false">IF(AND(DT$7=$I30,ISNUMBER($I30)),"◆","")</f>
        <v/>
      </c>
      <c r="DU30" s="57" t="str">
        <f aca="false">IF(AND(DU$7=$I30,ISNUMBER($I30)),"◆","")</f>
        <v/>
      </c>
      <c r="DV30" s="57" t="str">
        <f aca="false">IF(AND(DV$7=$I30,ISNUMBER($I30)),"◆","")</f>
        <v/>
      </c>
      <c r="DW30" s="57" t="str">
        <f aca="false">IF(AND(DW$7=$I30,ISNUMBER($I30)),"◆","")</f>
        <v/>
      </c>
      <c r="DX30" s="57" t="str">
        <f aca="false">IF(AND(DX$7=$I30,ISNUMBER($I30)),"◆","")</f>
        <v/>
      </c>
      <c r="DY30" s="57" t="str">
        <f aca="false">IF(AND(DY$7=$I30,ISNUMBER($I30)),"◆","")</f>
        <v/>
      </c>
      <c r="DZ30" s="57" t="str">
        <f aca="false">IF(AND(DZ$7=$I30,ISNUMBER($I30)),"◆","")</f>
        <v/>
      </c>
      <c r="EA30" s="57" t="str">
        <f aca="false">IF(AND(EA$7=$I30,ISNUMBER($I30)),"◆","")</f>
        <v/>
      </c>
      <c r="EB30" s="57" t="str">
        <f aca="false">IF(AND(EB$7=$I30,ISNUMBER($I30)),"◆","")</f>
        <v/>
      </c>
      <c r="EC30" s="57" t="str">
        <f aca="false">IF(AND(EC$7=$I30,ISNUMBER($I30)),"◆","")</f>
        <v/>
      </c>
      <c r="ED30" s="57" t="str">
        <f aca="false">IF(AND(ED$7=$I30,ISNUMBER($I30)),"◆","")</f>
        <v/>
      </c>
      <c r="EE30" s="57" t="str">
        <f aca="false">IF(AND(EE$7=$I30,ISNUMBER($I30)),"◆","")</f>
        <v/>
      </c>
      <c r="EF30" s="57" t="str">
        <f aca="false">IF(AND(EF$7=$I30,ISNUMBER($I30)),"◆","")</f>
        <v/>
      </c>
      <c r="EG30" s="57" t="str">
        <f aca="false">IF(AND(EG$7=$I30,ISNUMBER($I30)),"◆","")</f>
        <v/>
      </c>
      <c r="EH30" s="57" t="str">
        <f aca="false">IF(AND(EH$7=$I30,ISNUMBER($I30)),"◆","")</f>
        <v/>
      </c>
      <c r="EI30" s="57" t="str">
        <f aca="false">IF(AND(EI$7=$I30,ISNUMBER($I30)),"◆","")</f>
        <v/>
      </c>
      <c r="EJ30" s="57" t="str">
        <f aca="false">IF(AND(EJ$7=$I30,ISNUMBER($I30)),"◆","")</f>
        <v/>
      </c>
      <c r="EK30" s="57" t="str">
        <f aca="false">IF(AND(EK$7=$I30,ISNUMBER($I30)),"◆","")</f>
        <v/>
      </c>
      <c r="EL30" s="57" t="str">
        <f aca="false">IF(AND(EL$7=$I30,ISNUMBER($I30)),"◆","")</f>
        <v/>
      </c>
      <c r="EM30" s="57" t="str">
        <f aca="false">IF(AND(EM$7=$I30,ISNUMBER($I30)),"◆","")</f>
        <v/>
      </c>
    </row>
    <row r="31" customFormat="false" ht="25.5" hidden="false" customHeight="true" outlineLevel="0" collapsed="false">
      <c r="A31" s="50" t="str">
        <f aca="false">制作工程表!A25</f>
        <v>T17</v>
      </c>
      <c r="B31" s="51" t="str">
        <f aca="false">制作工程表!B25</f>
        <v>デザイン確認</v>
      </c>
      <c r="C31" s="52" t="str">
        <f aca="false">制作工程表!C25</f>
        <v>デザインのご確認</v>
      </c>
      <c r="D31" s="53" t="str">
        <f aca="false">制作工程表!D25</f>
        <v>総務窓口</v>
      </c>
      <c r="E31" s="53" t="str">
        <f aca="false">制作工程表!E25</f>
        <v>代表</v>
      </c>
      <c r="F31" s="54" t="str">
        <f aca="false">IF(制作工程表!B25="取材撮影","撮影",IF(OR(制作工程表!D25="総務窓口",制作工程表!D25="工場長",制作工程表!D25="代表",制作工程表!D25="営業・生産管理"),"企業","制作"))</f>
        <v>企業</v>
      </c>
      <c r="G31" s="55" t="n">
        <f aca="false">制作工程表!G25</f>
        <v>46405</v>
      </c>
      <c r="H31" s="55" t="n">
        <f aca="false">制作工程表!H25</f>
        <v>46413</v>
      </c>
      <c r="I31" s="56" t="n">
        <f aca="false">制作工程表!I25</f>
        <v>46413</v>
      </c>
      <c r="J31" s="51" t="str">
        <f aca="false">制作工程表!K25</f>
        <v>未着手</v>
      </c>
      <c r="K31" s="57" t="str">
        <f aca="false">IF(AND(K$7=$I31,ISNUMBER($I31)),"◆","")</f>
        <v/>
      </c>
      <c r="L31" s="57" t="str">
        <f aca="false">IF(AND(L$7=$I31,ISNUMBER($I31)),"◆","")</f>
        <v/>
      </c>
      <c r="M31" s="57" t="str">
        <f aca="false">IF(AND(M$7=$I31,ISNUMBER($I31)),"◆","")</f>
        <v/>
      </c>
      <c r="N31" s="57" t="str">
        <f aca="false">IF(AND(N$7=$I31,ISNUMBER($I31)),"◆","")</f>
        <v/>
      </c>
      <c r="O31" s="57" t="str">
        <f aca="false">IF(AND(O$7=$I31,ISNUMBER($I31)),"◆","")</f>
        <v/>
      </c>
      <c r="P31" s="57" t="str">
        <f aca="false">IF(AND(P$7=$I31,ISNUMBER($I31)),"◆","")</f>
        <v/>
      </c>
      <c r="Q31" s="57" t="str">
        <f aca="false">IF(AND(Q$7=$I31,ISNUMBER($I31)),"◆","")</f>
        <v/>
      </c>
      <c r="R31" s="57" t="str">
        <f aca="false">IF(AND(R$7=$I31,ISNUMBER($I31)),"◆","")</f>
        <v/>
      </c>
      <c r="S31" s="57" t="str">
        <f aca="false">IF(AND(S$7=$I31,ISNUMBER($I31)),"◆","")</f>
        <v/>
      </c>
      <c r="T31" s="57" t="str">
        <f aca="false">IF(AND(T$7=$I31,ISNUMBER($I31)),"◆","")</f>
        <v/>
      </c>
      <c r="U31" s="57" t="str">
        <f aca="false">IF(AND(U$7=$I31,ISNUMBER($I31)),"◆","")</f>
        <v/>
      </c>
      <c r="V31" s="57" t="str">
        <f aca="false">IF(AND(V$7=$I31,ISNUMBER($I31)),"◆","")</f>
        <v/>
      </c>
      <c r="W31" s="57" t="str">
        <f aca="false">IF(AND(W$7=$I31,ISNUMBER($I31)),"◆","")</f>
        <v/>
      </c>
      <c r="X31" s="57" t="str">
        <f aca="false">IF(AND(X$7=$I31,ISNUMBER($I31)),"◆","")</f>
        <v/>
      </c>
      <c r="Y31" s="57" t="str">
        <f aca="false">IF(AND(Y$7=$I31,ISNUMBER($I31)),"◆","")</f>
        <v/>
      </c>
      <c r="Z31" s="57" t="str">
        <f aca="false">IF(AND(Z$7=$I31,ISNUMBER($I31)),"◆","")</f>
        <v/>
      </c>
      <c r="AA31" s="57" t="str">
        <f aca="false">IF(AND(AA$7=$I31,ISNUMBER($I31)),"◆","")</f>
        <v/>
      </c>
      <c r="AB31" s="57" t="str">
        <f aca="false">IF(AND(AB$7=$I31,ISNUMBER($I31)),"◆","")</f>
        <v/>
      </c>
      <c r="AC31" s="57" t="str">
        <f aca="false">IF(AND(AC$7=$I31,ISNUMBER($I31)),"◆","")</f>
        <v/>
      </c>
      <c r="AD31" s="57" t="str">
        <f aca="false">IF(AND(AD$7=$I31,ISNUMBER($I31)),"◆","")</f>
        <v/>
      </c>
      <c r="AE31" s="57" t="str">
        <f aca="false">IF(AND(AE$7=$I31,ISNUMBER($I31)),"◆","")</f>
        <v/>
      </c>
      <c r="AF31" s="57" t="str">
        <f aca="false">IF(AND(AF$7=$I31,ISNUMBER($I31)),"◆","")</f>
        <v/>
      </c>
      <c r="AG31" s="57" t="str">
        <f aca="false">IF(AND(AG$7=$I31,ISNUMBER($I31)),"◆","")</f>
        <v/>
      </c>
      <c r="AH31" s="57" t="str">
        <f aca="false">IF(AND(AH$7=$I31,ISNUMBER($I31)),"◆","")</f>
        <v/>
      </c>
      <c r="AI31" s="57" t="str">
        <f aca="false">IF(AND(AI$7=$I31,ISNUMBER($I31)),"◆","")</f>
        <v/>
      </c>
      <c r="AJ31" s="57" t="str">
        <f aca="false">IF(AND(AJ$7=$I31,ISNUMBER($I31)),"◆","")</f>
        <v/>
      </c>
      <c r="AK31" s="57" t="str">
        <f aca="false">IF(AND(AK$7=$I31,ISNUMBER($I31)),"◆","")</f>
        <v/>
      </c>
      <c r="AL31" s="57" t="str">
        <f aca="false">IF(AND(AL$7=$I31,ISNUMBER($I31)),"◆","")</f>
        <v/>
      </c>
      <c r="AM31" s="57" t="str">
        <f aca="false">IF(AND(AM$7=$I31,ISNUMBER($I31)),"◆","")</f>
        <v/>
      </c>
      <c r="AN31" s="57" t="str">
        <f aca="false">IF(AND(AN$7=$I31,ISNUMBER($I31)),"◆","")</f>
        <v/>
      </c>
      <c r="AO31" s="57" t="str">
        <f aca="false">IF(AND(AO$7=$I31,ISNUMBER($I31)),"◆","")</f>
        <v/>
      </c>
      <c r="AP31" s="57" t="str">
        <f aca="false">IF(AND(AP$7=$I31,ISNUMBER($I31)),"◆","")</f>
        <v/>
      </c>
      <c r="AQ31" s="57" t="str">
        <f aca="false">IF(AND(AQ$7=$I31,ISNUMBER($I31)),"◆","")</f>
        <v/>
      </c>
      <c r="AR31" s="57" t="str">
        <f aca="false">IF(AND(AR$7=$I31,ISNUMBER($I31)),"◆","")</f>
        <v/>
      </c>
      <c r="AS31" s="57" t="str">
        <f aca="false">IF(AND(AS$7=$I31,ISNUMBER($I31)),"◆","")</f>
        <v/>
      </c>
      <c r="AT31" s="57" t="str">
        <f aca="false">IF(AND(AT$7=$I31,ISNUMBER($I31)),"◆","")</f>
        <v/>
      </c>
      <c r="AU31" s="57" t="str">
        <f aca="false">IF(AND(AU$7=$I31,ISNUMBER($I31)),"◆","")</f>
        <v/>
      </c>
      <c r="AV31" s="57" t="str">
        <f aca="false">IF(AND(AV$7=$I31,ISNUMBER($I31)),"◆","")</f>
        <v/>
      </c>
      <c r="AW31" s="57" t="str">
        <f aca="false">IF(AND(AW$7=$I31,ISNUMBER($I31)),"◆","")</f>
        <v/>
      </c>
      <c r="AX31" s="57" t="str">
        <f aca="false">IF(AND(AX$7=$I31,ISNUMBER($I31)),"◆","")</f>
        <v/>
      </c>
      <c r="AY31" s="57" t="str">
        <f aca="false">IF(AND(AY$7=$I31,ISNUMBER($I31)),"◆","")</f>
        <v/>
      </c>
      <c r="AZ31" s="57" t="str">
        <f aca="false">IF(AND(AZ$7=$I31,ISNUMBER($I31)),"◆","")</f>
        <v/>
      </c>
      <c r="BA31" s="57" t="str">
        <f aca="false">IF(AND(BA$7=$I31,ISNUMBER($I31)),"◆","")</f>
        <v/>
      </c>
      <c r="BB31" s="57" t="str">
        <f aca="false">IF(AND(BB$7=$I31,ISNUMBER($I31)),"◆","")</f>
        <v/>
      </c>
      <c r="BC31" s="57" t="str">
        <f aca="false">IF(AND(BC$7=$I31,ISNUMBER($I31)),"◆","")</f>
        <v/>
      </c>
      <c r="BD31" s="57" t="str">
        <f aca="false">IF(AND(BD$7=$I31,ISNUMBER($I31)),"◆","")</f>
        <v/>
      </c>
      <c r="BE31" s="57" t="str">
        <f aca="false">IF(AND(BE$7=$I31,ISNUMBER($I31)),"◆","")</f>
        <v/>
      </c>
      <c r="BF31" s="57" t="str">
        <f aca="false">IF(AND(BF$7=$I31,ISNUMBER($I31)),"◆","")</f>
        <v/>
      </c>
      <c r="BG31" s="57" t="str">
        <f aca="false">IF(AND(BG$7=$I31,ISNUMBER($I31)),"◆","")</f>
        <v/>
      </c>
      <c r="BH31" s="57" t="str">
        <f aca="false">IF(AND(BH$7=$I31,ISNUMBER($I31)),"◆","")</f>
        <v/>
      </c>
      <c r="BI31" s="57" t="str">
        <f aca="false">IF(AND(BI$7=$I31,ISNUMBER($I31)),"◆","")</f>
        <v/>
      </c>
      <c r="BJ31" s="57" t="str">
        <f aca="false">IF(AND(BJ$7=$I31,ISNUMBER($I31)),"◆","")</f>
        <v/>
      </c>
      <c r="BK31" s="57" t="str">
        <f aca="false">IF(AND(BK$7=$I31,ISNUMBER($I31)),"◆","")</f>
        <v/>
      </c>
      <c r="BL31" s="57" t="str">
        <f aca="false">IF(AND(BL$7=$I31,ISNUMBER($I31)),"◆","")</f>
        <v/>
      </c>
      <c r="BM31" s="57" t="str">
        <f aca="false">IF(AND(BM$7=$I31,ISNUMBER($I31)),"◆","")</f>
        <v/>
      </c>
      <c r="BN31" s="57" t="str">
        <f aca="false">IF(AND(BN$7=$I31,ISNUMBER($I31)),"◆","")</f>
        <v/>
      </c>
      <c r="BO31" s="57" t="str">
        <f aca="false">IF(AND(BO$7=$I31,ISNUMBER($I31)),"◆","")</f>
        <v/>
      </c>
      <c r="BP31" s="57" t="str">
        <f aca="false">IF(AND(BP$7=$I31,ISNUMBER($I31)),"◆","")</f>
        <v/>
      </c>
      <c r="BQ31" s="57" t="str">
        <f aca="false">IF(AND(BQ$7=$I31,ISNUMBER($I31)),"◆","")</f>
        <v/>
      </c>
      <c r="BR31" s="57" t="str">
        <f aca="false">IF(AND(BR$7=$I31,ISNUMBER($I31)),"◆","")</f>
        <v/>
      </c>
      <c r="BS31" s="57" t="str">
        <f aca="false">IF(AND(BS$7=$I31,ISNUMBER($I31)),"◆","")</f>
        <v/>
      </c>
      <c r="BT31" s="57" t="str">
        <f aca="false">IF(AND(BT$7=$I31,ISNUMBER($I31)),"◆","")</f>
        <v/>
      </c>
      <c r="BU31" s="57" t="str">
        <f aca="false">IF(AND(BU$7=$I31,ISNUMBER($I31)),"◆","")</f>
        <v/>
      </c>
      <c r="BV31" s="57" t="str">
        <f aca="false">IF(AND(BV$7=$I31,ISNUMBER($I31)),"◆","")</f>
        <v/>
      </c>
      <c r="BW31" s="57" t="str">
        <f aca="false">IF(AND(BW$7=$I31,ISNUMBER($I31)),"◆","")</f>
        <v/>
      </c>
      <c r="BX31" s="57" t="str">
        <f aca="false">IF(AND(BX$7=$I31,ISNUMBER($I31)),"◆","")</f>
        <v/>
      </c>
      <c r="BY31" s="57" t="str">
        <f aca="false">IF(AND(BY$7=$I31,ISNUMBER($I31)),"◆","")</f>
        <v/>
      </c>
      <c r="BZ31" s="57" t="str">
        <f aca="false">IF(AND(BZ$7=$I31,ISNUMBER($I31)),"◆","")</f>
        <v/>
      </c>
      <c r="CA31" s="57" t="str">
        <f aca="false">IF(AND(CA$7=$I31,ISNUMBER($I31)),"◆","")</f>
        <v/>
      </c>
      <c r="CB31" s="57" t="str">
        <f aca="false">IF(AND(CB$7=$I31,ISNUMBER($I31)),"◆","")</f>
        <v/>
      </c>
      <c r="CC31" s="57" t="str">
        <f aca="false">IF(AND(CC$7=$I31,ISNUMBER($I31)),"◆","")</f>
        <v/>
      </c>
      <c r="CD31" s="57" t="str">
        <f aca="false">IF(AND(CD$7=$I31,ISNUMBER($I31)),"◆","")</f>
        <v/>
      </c>
      <c r="CE31" s="57" t="str">
        <f aca="false">IF(AND(CE$7=$I31,ISNUMBER($I31)),"◆","")</f>
        <v/>
      </c>
      <c r="CF31" s="57" t="str">
        <f aca="false">IF(AND(CF$7=$I31,ISNUMBER($I31)),"◆","")</f>
        <v/>
      </c>
      <c r="CG31" s="57" t="str">
        <f aca="false">IF(AND(CG$7=$I31,ISNUMBER($I31)),"◆","")</f>
        <v/>
      </c>
      <c r="CH31" s="57" t="str">
        <f aca="false">IF(AND(CH$7=$I31,ISNUMBER($I31)),"◆","")</f>
        <v/>
      </c>
      <c r="CI31" s="57" t="str">
        <f aca="false">IF(AND(CI$7=$I31,ISNUMBER($I31)),"◆","")</f>
        <v/>
      </c>
      <c r="CJ31" s="57" t="str">
        <f aca="false">IF(AND(CJ$7=$I31,ISNUMBER($I31)),"◆","")</f>
        <v/>
      </c>
      <c r="CK31" s="57" t="str">
        <f aca="false">IF(AND(CK$7=$I31,ISNUMBER($I31)),"◆","")</f>
        <v/>
      </c>
      <c r="CL31" s="57" t="str">
        <f aca="false">IF(AND(CL$7=$I31,ISNUMBER($I31)),"◆","")</f>
        <v/>
      </c>
      <c r="CM31" s="57" t="str">
        <f aca="false">IF(AND(CM$7=$I31,ISNUMBER($I31)),"◆","")</f>
        <v/>
      </c>
      <c r="CN31" s="57" t="str">
        <f aca="false">IF(AND(CN$7=$I31,ISNUMBER($I31)),"◆","")</f>
        <v/>
      </c>
      <c r="CO31" s="57" t="str">
        <f aca="false">IF(AND(CO$7=$I31,ISNUMBER($I31)),"◆","")</f>
        <v/>
      </c>
      <c r="CP31" s="57" t="str">
        <f aca="false">IF(AND(CP$7=$I31,ISNUMBER($I31)),"◆","")</f>
        <v/>
      </c>
      <c r="CQ31" s="57" t="str">
        <f aca="false">IF(AND(CQ$7=$I31,ISNUMBER($I31)),"◆","")</f>
        <v/>
      </c>
      <c r="CR31" s="57" t="str">
        <f aca="false">IF(AND(CR$7=$I31,ISNUMBER($I31)),"◆","")</f>
        <v>◆</v>
      </c>
      <c r="CS31" s="57" t="str">
        <f aca="false">IF(AND(CS$7=$I31,ISNUMBER($I31)),"◆","")</f>
        <v/>
      </c>
      <c r="CT31" s="57" t="str">
        <f aca="false">IF(AND(CT$7=$I31,ISNUMBER($I31)),"◆","")</f>
        <v/>
      </c>
      <c r="CU31" s="57" t="str">
        <f aca="false">IF(AND(CU$7=$I31,ISNUMBER($I31)),"◆","")</f>
        <v/>
      </c>
      <c r="CV31" s="57" t="str">
        <f aca="false">IF(AND(CV$7=$I31,ISNUMBER($I31)),"◆","")</f>
        <v/>
      </c>
      <c r="CW31" s="57" t="str">
        <f aca="false">IF(AND(CW$7=$I31,ISNUMBER($I31)),"◆","")</f>
        <v/>
      </c>
      <c r="CX31" s="57" t="str">
        <f aca="false">IF(AND(CX$7=$I31,ISNUMBER($I31)),"◆","")</f>
        <v/>
      </c>
      <c r="CY31" s="57" t="str">
        <f aca="false">IF(AND(CY$7=$I31,ISNUMBER($I31)),"◆","")</f>
        <v/>
      </c>
      <c r="CZ31" s="57" t="str">
        <f aca="false">IF(AND(CZ$7=$I31,ISNUMBER($I31)),"◆","")</f>
        <v/>
      </c>
      <c r="DA31" s="57" t="str">
        <f aca="false">IF(AND(DA$7=$I31,ISNUMBER($I31)),"◆","")</f>
        <v/>
      </c>
      <c r="DB31" s="57" t="str">
        <f aca="false">IF(AND(DB$7=$I31,ISNUMBER($I31)),"◆","")</f>
        <v/>
      </c>
      <c r="DC31" s="57" t="str">
        <f aca="false">IF(AND(DC$7=$I31,ISNUMBER($I31)),"◆","")</f>
        <v/>
      </c>
      <c r="DD31" s="57" t="str">
        <f aca="false">IF(AND(DD$7=$I31,ISNUMBER($I31)),"◆","")</f>
        <v/>
      </c>
      <c r="DE31" s="57" t="str">
        <f aca="false">IF(AND(DE$7=$I31,ISNUMBER($I31)),"◆","")</f>
        <v/>
      </c>
      <c r="DF31" s="57" t="str">
        <f aca="false">IF(AND(DF$7=$I31,ISNUMBER($I31)),"◆","")</f>
        <v/>
      </c>
      <c r="DG31" s="57" t="str">
        <f aca="false">IF(AND(DG$7=$I31,ISNUMBER($I31)),"◆","")</f>
        <v/>
      </c>
      <c r="DH31" s="57" t="str">
        <f aca="false">IF(AND(DH$7=$I31,ISNUMBER($I31)),"◆","")</f>
        <v/>
      </c>
      <c r="DI31" s="57" t="str">
        <f aca="false">IF(AND(DI$7=$I31,ISNUMBER($I31)),"◆","")</f>
        <v/>
      </c>
      <c r="DJ31" s="57" t="str">
        <f aca="false">IF(AND(DJ$7=$I31,ISNUMBER($I31)),"◆","")</f>
        <v/>
      </c>
      <c r="DK31" s="57" t="str">
        <f aca="false">IF(AND(DK$7=$I31,ISNUMBER($I31)),"◆","")</f>
        <v/>
      </c>
      <c r="DL31" s="57" t="str">
        <f aca="false">IF(AND(DL$7=$I31,ISNUMBER($I31)),"◆","")</f>
        <v/>
      </c>
      <c r="DM31" s="57" t="str">
        <f aca="false">IF(AND(DM$7=$I31,ISNUMBER($I31)),"◆","")</f>
        <v/>
      </c>
      <c r="DN31" s="57" t="str">
        <f aca="false">IF(AND(DN$7=$I31,ISNUMBER($I31)),"◆","")</f>
        <v/>
      </c>
      <c r="DO31" s="57" t="str">
        <f aca="false">IF(AND(DO$7=$I31,ISNUMBER($I31)),"◆","")</f>
        <v/>
      </c>
      <c r="DP31" s="57" t="str">
        <f aca="false">IF(AND(DP$7=$I31,ISNUMBER($I31)),"◆","")</f>
        <v/>
      </c>
      <c r="DQ31" s="57" t="str">
        <f aca="false">IF(AND(DQ$7=$I31,ISNUMBER($I31)),"◆","")</f>
        <v/>
      </c>
      <c r="DR31" s="57" t="str">
        <f aca="false">IF(AND(DR$7=$I31,ISNUMBER($I31)),"◆","")</f>
        <v/>
      </c>
      <c r="DS31" s="57" t="str">
        <f aca="false">IF(AND(DS$7=$I31,ISNUMBER($I31)),"◆","")</f>
        <v/>
      </c>
      <c r="DT31" s="57" t="str">
        <f aca="false">IF(AND(DT$7=$I31,ISNUMBER($I31)),"◆","")</f>
        <v/>
      </c>
      <c r="DU31" s="57" t="str">
        <f aca="false">IF(AND(DU$7=$I31,ISNUMBER($I31)),"◆","")</f>
        <v/>
      </c>
      <c r="DV31" s="57" t="str">
        <f aca="false">IF(AND(DV$7=$I31,ISNUMBER($I31)),"◆","")</f>
        <v/>
      </c>
      <c r="DW31" s="57" t="str">
        <f aca="false">IF(AND(DW$7=$I31,ISNUMBER($I31)),"◆","")</f>
        <v/>
      </c>
      <c r="DX31" s="57" t="str">
        <f aca="false">IF(AND(DX$7=$I31,ISNUMBER($I31)),"◆","")</f>
        <v/>
      </c>
      <c r="DY31" s="57" t="str">
        <f aca="false">IF(AND(DY$7=$I31,ISNUMBER($I31)),"◆","")</f>
        <v/>
      </c>
      <c r="DZ31" s="57" t="str">
        <f aca="false">IF(AND(DZ$7=$I31,ISNUMBER($I31)),"◆","")</f>
        <v/>
      </c>
      <c r="EA31" s="57" t="str">
        <f aca="false">IF(AND(EA$7=$I31,ISNUMBER($I31)),"◆","")</f>
        <v/>
      </c>
      <c r="EB31" s="57" t="str">
        <f aca="false">IF(AND(EB$7=$I31,ISNUMBER($I31)),"◆","")</f>
        <v/>
      </c>
      <c r="EC31" s="57" t="str">
        <f aca="false">IF(AND(EC$7=$I31,ISNUMBER($I31)),"◆","")</f>
        <v/>
      </c>
      <c r="ED31" s="57" t="str">
        <f aca="false">IF(AND(ED$7=$I31,ISNUMBER($I31)),"◆","")</f>
        <v/>
      </c>
      <c r="EE31" s="57" t="str">
        <f aca="false">IF(AND(EE$7=$I31,ISNUMBER($I31)),"◆","")</f>
        <v/>
      </c>
      <c r="EF31" s="57" t="str">
        <f aca="false">IF(AND(EF$7=$I31,ISNUMBER($I31)),"◆","")</f>
        <v/>
      </c>
      <c r="EG31" s="57" t="str">
        <f aca="false">IF(AND(EG$7=$I31,ISNUMBER($I31)),"◆","")</f>
        <v/>
      </c>
      <c r="EH31" s="57" t="str">
        <f aca="false">IF(AND(EH$7=$I31,ISNUMBER($I31)),"◆","")</f>
        <v/>
      </c>
      <c r="EI31" s="57" t="str">
        <f aca="false">IF(AND(EI$7=$I31,ISNUMBER($I31)),"◆","")</f>
        <v/>
      </c>
      <c r="EJ31" s="57" t="str">
        <f aca="false">IF(AND(EJ$7=$I31,ISNUMBER($I31)),"◆","")</f>
        <v/>
      </c>
      <c r="EK31" s="57" t="str">
        <f aca="false">IF(AND(EK$7=$I31,ISNUMBER($I31)),"◆","")</f>
        <v/>
      </c>
      <c r="EL31" s="57" t="str">
        <f aca="false">IF(AND(EL$7=$I31,ISNUMBER($I31)),"◆","")</f>
        <v/>
      </c>
      <c r="EM31" s="57" t="str">
        <f aca="false">IF(AND(EM$7=$I31,ISNUMBER($I31)),"◆","")</f>
        <v/>
      </c>
    </row>
    <row r="32" customFormat="false" ht="25.5" hidden="false" customHeight="true" outlineLevel="0" collapsed="false">
      <c r="A32" s="50" t="str">
        <f aca="false">制作工程表!A26</f>
        <v>T18</v>
      </c>
      <c r="B32" s="51" t="str">
        <f aca="false">制作工程表!B26</f>
        <v>デザイン</v>
      </c>
      <c r="C32" s="52" t="str">
        <f aca="false">制作工程表!C26</f>
        <v>全7ページの展開・確定</v>
      </c>
      <c r="D32" s="53" t="str">
        <f aca="false">制作工程表!D26</f>
        <v>デザイナー</v>
      </c>
      <c r="E32" s="53" t="str">
        <f aca="false">制作工程表!E26</f>
        <v>—</v>
      </c>
      <c r="F32" s="54" t="str">
        <f aca="false">IF(制作工程表!B26="取材撮影","撮影",IF(OR(制作工程表!D26="総務窓口",制作工程表!D26="工場長",制作工程表!D26="代表",制作工程表!D26="営業・生産管理"),"企業","制作"))</f>
        <v>制作</v>
      </c>
      <c r="G32" s="55" t="n">
        <f aca="false">制作工程表!G26</f>
        <v>46414</v>
      </c>
      <c r="H32" s="55" t="n">
        <f aca="false">制作工程表!H26</f>
        <v>46420</v>
      </c>
      <c r="I32" s="56" t="str">
        <f aca="false">制作工程表!I26</f>
        <v>—</v>
      </c>
      <c r="J32" s="51" t="str">
        <f aca="false">制作工程表!K26</f>
        <v>未着手</v>
      </c>
      <c r="K32" s="57" t="str">
        <f aca="false">IF(AND(K$7=$I32,ISNUMBER($I32)),"◆","")</f>
        <v/>
      </c>
      <c r="L32" s="57" t="str">
        <f aca="false">IF(AND(L$7=$I32,ISNUMBER($I32)),"◆","")</f>
        <v/>
      </c>
      <c r="M32" s="57" t="str">
        <f aca="false">IF(AND(M$7=$I32,ISNUMBER($I32)),"◆","")</f>
        <v/>
      </c>
      <c r="N32" s="57" t="str">
        <f aca="false">IF(AND(N$7=$I32,ISNUMBER($I32)),"◆","")</f>
        <v/>
      </c>
      <c r="O32" s="57" t="str">
        <f aca="false">IF(AND(O$7=$I32,ISNUMBER($I32)),"◆","")</f>
        <v/>
      </c>
      <c r="P32" s="57" t="str">
        <f aca="false">IF(AND(P$7=$I32,ISNUMBER($I32)),"◆","")</f>
        <v/>
      </c>
      <c r="Q32" s="57" t="str">
        <f aca="false">IF(AND(Q$7=$I32,ISNUMBER($I32)),"◆","")</f>
        <v/>
      </c>
      <c r="R32" s="57" t="str">
        <f aca="false">IF(AND(R$7=$I32,ISNUMBER($I32)),"◆","")</f>
        <v/>
      </c>
      <c r="S32" s="57" t="str">
        <f aca="false">IF(AND(S$7=$I32,ISNUMBER($I32)),"◆","")</f>
        <v/>
      </c>
      <c r="T32" s="57" t="str">
        <f aca="false">IF(AND(T$7=$I32,ISNUMBER($I32)),"◆","")</f>
        <v/>
      </c>
      <c r="U32" s="57" t="str">
        <f aca="false">IF(AND(U$7=$I32,ISNUMBER($I32)),"◆","")</f>
        <v/>
      </c>
      <c r="V32" s="57" t="str">
        <f aca="false">IF(AND(V$7=$I32,ISNUMBER($I32)),"◆","")</f>
        <v/>
      </c>
      <c r="W32" s="57" t="str">
        <f aca="false">IF(AND(W$7=$I32,ISNUMBER($I32)),"◆","")</f>
        <v/>
      </c>
      <c r="X32" s="57" t="str">
        <f aca="false">IF(AND(X$7=$I32,ISNUMBER($I32)),"◆","")</f>
        <v/>
      </c>
      <c r="Y32" s="57" t="str">
        <f aca="false">IF(AND(Y$7=$I32,ISNUMBER($I32)),"◆","")</f>
        <v/>
      </c>
      <c r="Z32" s="57" t="str">
        <f aca="false">IF(AND(Z$7=$I32,ISNUMBER($I32)),"◆","")</f>
        <v/>
      </c>
      <c r="AA32" s="57" t="str">
        <f aca="false">IF(AND(AA$7=$I32,ISNUMBER($I32)),"◆","")</f>
        <v/>
      </c>
      <c r="AB32" s="57" t="str">
        <f aca="false">IF(AND(AB$7=$I32,ISNUMBER($I32)),"◆","")</f>
        <v/>
      </c>
      <c r="AC32" s="57" t="str">
        <f aca="false">IF(AND(AC$7=$I32,ISNUMBER($I32)),"◆","")</f>
        <v/>
      </c>
      <c r="AD32" s="57" t="str">
        <f aca="false">IF(AND(AD$7=$I32,ISNUMBER($I32)),"◆","")</f>
        <v/>
      </c>
      <c r="AE32" s="57" t="str">
        <f aca="false">IF(AND(AE$7=$I32,ISNUMBER($I32)),"◆","")</f>
        <v/>
      </c>
      <c r="AF32" s="57" t="str">
        <f aca="false">IF(AND(AF$7=$I32,ISNUMBER($I32)),"◆","")</f>
        <v/>
      </c>
      <c r="AG32" s="57" t="str">
        <f aca="false">IF(AND(AG$7=$I32,ISNUMBER($I32)),"◆","")</f>
        <v/>
      </c>
      <c r="AH32" s="57" t="str">
        <f aca="false">IF(AND(AH$7=$I32,ISNUMBER($I32)),"◆","")</f>
        <v/>
      </c>
      <c r="AI32" s="57" t="str">
        <f aca="false">IF(AND(AI$7=$I32,ISNUMBER($I32)),"◆","")</f>
        <v/>
      </c>
      <c r="AJ32" s="57" t="str">
        <f aca="false">IF(AND(AJ$7=$I32,ISNUMBER($I32)),"◆","")</f>
        <v/>
      </c>
      <c r="AK32" s="57" t="str">
        <f aca="false">IF(AND(AK$7=$I32,ISNUMBER($I32)),"◆","")</f>
        <v/>
      </c>
      <c r="AL32" s="57" t="str">
        <f aca="false">IF(AND(AL$7=$I32,ISNUMBER($I32)),"◆","")</f>
        <v/>
      </c>
      <c r="AM32" s="57" t="str">
        <f aca="false">IF(AND(AM$7=$I32,ISNUMBER($I32)),"◆","")</f>
        <v/>
      </c>
      <c r="AN32" s="57" t="str">
        <f aca="false">IF(AND(AN$7=$I32,ISNUMBER($I32)),"◆","")</f>
        <v/>
      </c>
      <c r="AO32" s="57" t="str">
        <f aca="false">IF(AND(AO$7=$I32,ISNUMBER($I32)),"◆","")</f>
        <v/>
      </c>
      <c r="AP32" s="57" t="str">
        <f aca="false">IF(AND(AP$7=$I32,ISNUMBER($I32)),"◆","")</f>
        <v/>
      </c>
      <c r="AQ32" s="57" t="str">
        <f aca="false">IF(AND(AQ$7=$I32,ISNUMBER($I32)),"◆","")</f>
        <v/>
      </c>
      <c r="AR32" s="57" t="str">
        <f aca="false">IF(AND(AR$7=$I32,ISNUMBER($I32)),"◆","")</f>
        <v/>
      </c>
      <c r="AS32" s="57" t="str">
        <f aca="false">IF(AND(AS$7=$I32,ISNUMBER($I32)),"◆","")</f>
        <v/>
      </c>
      <c r="AT32" s="57" t="str">
        <f aca="false">IF(AND(AT$7=$I32,ISNUMBER($I32)),"◆","")</f>
        <v/>
      </c>
      <c r="AU32" s="57" t="str">
        <f aca="false">IF(AND(AU$7=$I32,ISNUMBER($I32)),"◆","")</f>
        <v/>
      </c>
      <c r="AV32" s="57" t="str">
        <f aca="false">IF(AND(AV$7=$I32,ISNUMBER($I32)),"◆","")</f>
        <v/>
      </c>
      <c r="AW32" s="57" t="str">
        <f aca="false">IF(AND(AW$7=$I32,ISNUMBER($I32)),"◆","")</f>
        <v/>
      </c>
      <c r="AX32" s="57" t="str">
        <f aca="false">IF(AND(AX$7=$I32,ISNUMBER($I32)),"◆","")</f>
        <v/>
      </c>
      <c r="AY32" s="57" t="str">
        <f aca="false">IF(AND(AY$7=$I32,ISNUMBER($I32)),"◆","")</f>
        <v/>
      </c>
      <c r="AZ32" s="57" t="str">
        <f aca="false">IF(AND(AZ$7=$I32,ISNUMBER($I32)),"◆","")</f>
        <v/>
      </c>
      <c r="BA32" s="57" t="str">
        <f aca="false">IF(AND(BA$7=$I32,ISNUMBER($I32)),"◆","")</f>
        <v/>
      </c>
      <c r="BB32" s="57" t="str">
        <f aca="false">IF(AND(BB$7=$I32,ISNUMBER($I32)),"◆","")</f>
        <v/>
      </c>
      <c r="BC32" s="57" t="str">
        <f aca="false">IF(AND(BC$7=$I32,ISNUMBER($I32)),"◆","")</f>
        <v/>
      </c>
      <c r="BD32" s="57" t="str">
        <f aca="false">IF(AND(BD$7=$I32,ISNUMBER($I32)),"◆","")</f>
        <v/>
      </c>
      <c r="BE32" s="57" t="str">
        <f aca="false">IF(AND(BE$7=$I32,ISNUMBER($I32)),"◆","")</f>
        <v/>
      </c>
      <c r="BF32" s="57" t="str">
        <f aca="false">IF(AND(BF$7=$I32,ISNUMBER($I32)),"◆","")</f>
        <v/>
      </c>
      <c r="BG32" s="57" t="str">
        <f aca="false">IF(AND(BG$7=$I32,ISNUMBER($I32)),"◆","")</f>
        <v/>
      </c>
      <c r="BH32" s="57" t="str">
        <f aca="false">IF(AND(BH$7=$I32,ISNUMBER($I32)),"◆","")</f>
        <v/>
      </c>
      <c r="BI32" s="57" t="str">
        <f aca="false">IF(AND(BI$7=$I32,ISNUMBER($I32)),"◆","")</f>
        <v/>
      </c>
      <c r="BJ32" s="57" t="str">
        <f aca="false">IF(AND(BJ$7=$I32,ISNUMBER($I32)),"◆","")</f>
        <v/>
      </c>
      <c r="BK32" s="57" t="str">
        <f aca="false">IF(AND(BK$7=$I32,ISNUMBER($I32)),"◆","")</f>
        <v/>
      </c>
      <c r="BL32" s="57" t="str">
        <f aca="false">IF(AND(BL$7=$I32,ISNUMBER($I32)),"◆","")</f>
        <v/>
      </c>
      <c r="BM32" s="57" t="str">
        <f aca="false">IF(AND(BM$7=$I32,ISNUMBER($I32)),"◆","")</f>
        <v/>
      </c>
      <c r="BN32" s="57" t="str">
        <f aca="false">IF(AND(BN$7=$I32,ISNUMBER($I32)),"◆","")</f>
        <v/>
      </c>
      <c r="BO32" s="57" t="str">
        <f aca="false">IF(AND(BO$7=$I32,ISNUMBER($I32)),"◆","")</f>
        <v/>
      </c>
      <c r="BP32" s="57" t="str">
        <f aca="false">IF(AND(BP$7=$I32,ISNUMBER($I32)),"◆","")</f>
        <v/>
      </c>
      <c r="BQ32" s="57" t="str">
        <f aca="false">IF(AND(BQ$7=$I32,ISNUMBER($I32)),"◆","")</f>
        <v/>
      </c>
      <c r="BR32" s="57" t="str">
        <f aca="false">IF(AND(BR$7=$I32,ISNUMBER($I32)),"◆","")</f>
        <v/>
      </c>
      <c r="BS32" s="57" t="str">
        <f aca="false">IF(AND(BS$7=$I32,ISNUMBER($I32)),"◆","")</f>
        <v/>
      </c>
      <c r="BT32" s="57" t="str">
        <f aca="false">IF(AND(BT$7=$I32,ISNUMBER($I32)),"◆","")</f>
        <v/>
      </c>
      <c r="BU32" s="57" t="str">
        <f aca="false">IF(AND(BU$7=$I32,ISNUMBER($I32)),"◆","")</f>
        <v/>
      </c>
      <c r="BV32" s="57" t="str">
        <f aca="false">IF(AND(BV$7=$I32,ISNUMBER($I32)),"◆","")</f>
        <v/>
      </c>
      <c r="BW32" s="57" t="str">
        <f aca="false">IF(AND(BW$7=$I32,ISNUMBER($I32)),"◆","")</f>
        <v/>
      </c>
      <c r="BX32" s="57" t="str">
        <f aca="false">IF(AND(BX$7=$I32,ISNUMBER($I32)),"◆","")</f>
        <v/>
      </c>
      <c r="BY32" s="57" t="str">
        <f aca="false">IF(AND(BY$7=$I32,ISNUMBER($I32)),"◆","")</f>
        <v/>
      </c>
      <c r="BZ32" s="57" t="str">
        <f aca="false">IF(AND(BZ$7=$I32,ISNUMBER($I32)),"◆","")</f>
        <v/>
      </c>
      <c r="CA32" s="57" t="str">
        <f aca="false">IF(AND(CA$7=$I32,ISNUMBER($I32)),"◆","")</f>
        <v/>
      </c>
      <c r="CB32" s="57" t="str">
        <f aca="false">IF(AND(CB$7=$I32,ISNUMBER($I32)),"◆","")</f>
        <v/>
      </c>
      <c r="CC32" s="57" t="str">
        <f aca="false">IF(AND(CC$7=$I32,ISNUMBER($I32)),"◆","")</f>
        <v/>
      </c>
      <c r="CD32" s="57" t="str">
        <f aca="false">IF(AND(CD$7=$I32,ISNUMBER($I32)),"◆","")</f>
        <v/>
      </c>
      <c r="CE32" s="57" t="str">
        <f aca="false">IF(AND(CE$7=$I32,ISNUMBER($I32)),"◆","")</f>
        <v/>
      </c>
      <c r="CF32" s="57" t="str">
        <f aca="false">IF(AND(CF$7=$I32,ISNUMBER($I32)),"◆","")</f>
        <v/>
      </c>
      <c r="CG32" s="57" t="str">
        <f aca="false">IF(AND(CG$7=$I32,ISNUMBER($I32)),"◆","")</f>
        <v/>
      </c>
      <c r="CH32" s="57" t="str">
        <f aca="false">IF(AND(CH$7=$I32,ISNUMBER($I32)),"◆","")</f>
        <v/>
      </c>
      <c r="CI32" s="57" t="str">
        <f aca="false">IF(AND(CI$7=$I32,ISNUMBER($I32)),"◆","")</f>
        <v/>
      </c>
      <c r="CJ32" s="57" t="str">
        <f aca="false">IF(AND(CJ$7=$I32,ISNUMBER($I32)),"◆","")</f>
        <v/>
      </c>
      <c r="CK32" s="57" t="str">
        <f aca="false">IF(AND(CK$7=$I32,ISNUMBER($I32)),"◆","")</f>
        <v/>
      </c>
      <c r="CL32" s="57" t="str">
        <f aca="false">IF(AND(CL$7=$I32,ISNUMBER($I32)),"◆","")</f>
        <v/>
      </c>
      <c r="CM32" s="57" t="str">
        <f aca="false">IF(AND(CM$7=$I32,ISNUMBER($I32)),"◆","")</f>
        <v/>
      </c>
      <c r="CN32" s="57" t="str">
        <f aca="false">IF(AND(CN$7=$I32,ISNUMBER($I32)),"◆","")</f>
        <v/>
      </c>
      <c r="CO32" s="57" t="str">
        <f aca="false">IF(AND(CO$7=$I32,ISNUMBER($I32)),"◆","")</f>
        <v/>
      </c>
      <c r="CP32" s="57" t="str">
        <f aca="false">IF(AND(CP$7=$I32,ISNUMBER($I32)),"◆","")</f>
        <v/>
      </c>
      <c r="CQ32" s="57" t="str">
        <f aca="false">IF(AND(CQ$7=$I32,ISNUMBER($I32)),"◆","")</f>
        <v/>
      </c>
      <c r="CR32" s="57" t="str">
        <f aca="false">IF(AND(CR$7=$I32,ISNUMBER($I32)),"◆","")</f>
        <v/>
      </c>
      <c r="CS32" s="57" t="str">
        <f aca="false">IF(AND(CS$7=$I32,ISNUMBER($I32)),"◆","")</f>
        <v/>
      </c>
      <c r="CT32" s="57" t="str">
        <f aca="false">IF(AND(CT$7=$I32,ISNUMBER($I32)),"◆","")</f>
        <v/>
      </c>
      <c r="CU32" s="57" t="str">
        <f aca="false">IF(AND(CU$7=$I32,ISNUMBER($I32)),"◆","")</f>
        <v/>
      </c>
      <c r="CV32" s="57" t="str">
        <f aca="false">IF(AND(CV$7=$I32,ISNUMBER($I32)),"◆","")</f>
        <v/>
      </c>
      <c r="CW32" s="57" t="str">
        <f aca="false">IF(AND(CW$7=$I32,ISNUMBER($I32)),"◆","")</f>
        <v/>
      </c>
      <c r="CX32" s="57" t="str">
        <f aca="false">IF(AND(CX$7=$I32,ISNUMBER($I32)),"◆","")</f>
        <v/>
      </c>
      <c r="CY32" s="57" t="str">
        <f aca="false">IF(AND(CY$7=$I32,ISNUMBER($I32)),"◆","")</f>
        <v/>
      </c>
      <c r="CZ32" s="57" t="str">
        <f aca="false">IF(AND(CZ$7=$I32,ISNUMBER($I32)),"◆","")</f>
        <v/>
      </c>
      <c r="DA32" s="57" t="str">
        <f aca="false">IF(AND(DA$7=$I32,ISNUMBER($I32)),"◆","")</f>
        <v/>
      </c>
      <c r="DB32" s="57" t="str">
        <f aca="false">IF(AND(DB$7=$I32,ISNUMBER($I32)),"◆","")</f>
        <v/>
      </c>
      <c r="DC32" s="57" t="str">
        <f aca="false">IF(AND(DC$7=$I32,ISNUMBER($I32)),"◆","")</f>
        <v/>
      </c>
      <c r="DD32" s="57" t="str">
        <f aca="false">IF(AND(DD$7=$I32,ISNUMBER($I32)),"◆","")</f>
        <v/>
      </c>
      <c r="DE32" s="57" t="str">
        <f aca="false">IF(AND(DE$7=$I32,ISNUMBER($I32)),"◆","")</f>
        <v/>
      </c>
      <c r="DF32" s="57" t="str">
        <f aca="false">IF(AND(DF$7=$I32,ISNUMBER($I32)),"◆","")</f>
        <v/>
      </c>
      <c r="DG32" s="57" t="str">
        <f aca="false">IF(AND(DG$7=$I32,ISNUMBER($I32)),"◆","")</f>
        <v/>
      </c>
      <c r="DH32" s="57" t="str">
        <f aca="false">IF(AND(DH$7=$I32,ISNUMBER($I32)),"◆","")</f>
        <v/>
      </c>
      <c r="DI32" s="57" t="str">
        <f aca="false">IF(AND(DI$7=$I32,ISNUMBER($I32)),"◆","")</f>
        <v/>
      </c>
      <c r="DJ32" s="57" t="str">
        <f aca="false">IF(AND(DJ$7=$I32,ISNUMBER($I32)),"◆","")</f>
        <v/>
      </c>
      <c r="DK32" s="57" t="str">
        <f aca="false">IF(AND(DK$7=$I32,ISNUMBER($I32)),"◆","")</f>
        <v/>
      </c>
      <c r="DL32" s="57" t="str">
        <f aca="false">IF(AND(DL$7=$I32,ISNUMBER($I32)),"◆","")</f>
        <v/>
      </c>
      <c r="DM32" s="57" t="str">
        <f aca="false">IF(AND(DM$7=$I32,ISNUMBER($I32)),"◆","")</f>
        <v/>
      </c>
      <c r="DN32" s="57" t="str">
        <f aca="false">IF(AND(DN$7=$I32,ISNUMBER($I32)),"◆","")</f>
        <v/>
      </c>
      <c r="DO32" s="57" t="str">
        <f aca="false">IF(AND(DO$7=$I32,ISNUMBER($I32)),"◆","")</f>
        <v/>
      </c>
      <c r="DP32" s="57" t="str">
        <f aca="false">IF(AND(DP$7=$I32,ISNUMBER($I32)),"◆","")</f>
        <v/>
      </c>
      <c r="DQ32" s="57" t="str">
        <f aca="false">IF(AND(DQ$7=$I32,ISNUMBER($I32)),"◆","")</f>
        <v/>
      </c>
      <c r="DR32" s="57" t="str">
        <f aca="false">IF(AND(DR$7=$I32,ISNUMBER($I32)),"◆","")</f>
        <v/>
      </c>
      <c r="DS32" s="57" t="str">
        <f aca="false">IF(AND(DS$7=$I32,ISNUMBER($I32)),"◆","")</f>
        <v/>
      </c>
      <c r="DT32" s="57" t="str">
        <f aca="false">IF(AND(DT$7=$I32,ISNUMBER($I32)),"◆","")</f>
        <v/>
      </c>
      <c r="DU32" s="57" t="str">
        <f aca="false">IF(AND(DU$7=$I32,ISNUMBER($I32)),"◆","")</f>
        <v/>
      </c>
      <c r="DV32" s="57" t="str">
        <f aca="false">IF(AND(DV$7=$I32,ISNUMBER($I32)),"◆","")</f>
        <v/>
      </c>
      <c r="DW32" s="57" t="str">
        <f aca="false">IF(AND(DW$7=$I32,ISNUMBER($I32)),"◆","")</f>
        <v/>
      </c>
      <c r="DX32" s="57" t="str">
        <f aca="false">IF(AND(DX$7=$I32,ISNUMBER($I32)),"◆","")</f>
        <v/>
      </c>
      <c r="DY32" s="57" t="str">
        <f aca="false">IF(AND(DY$7=$I32,ISNUMBER($I32)),"◆","")</f>
        <v/>
      </c>
      <c r="DZ32" s="57" t="str">
        <f aca="false">IF(AND(DZ$7=$I32,ISNUMBER($I32)),"◆","")</f>
        <v/>
      </c>
      <c r="EA32" s="57" t="str">
        <f aca="false">IF(AND(EA$7=$I32,ISNUMBER($I32)),"◆","")</f>
        <v/>
      </c>
      <c r="EB32" s="57" t="str">
        <f aca="false">IF(AND(EB$7=$I32,ISNUMBER($I32)),"◆","")</f>
        <v/>
      </c>
      <c r="EC32" s="57" t="str">
        <f aca="false">IF(AND(EC$7=$I32,ISNUMBER($I32)),"◆","")</f>
        <v/>
      </c>
      <c r="ED32" s="57" t="str">
        <f aca="false">IF(AND(ED$7=$I32,ISNUMBER($I32)),"◆","")</f>
        <v/>
      </c>
      <c r="EE32" s="57" t="str">
        <f aca="false">IF(AND(EE$7=$I32,ISNUMBER($I32)),"◆","")</f>
        <v/>
      </c>
      <c r="EF32" s="57" t="str">
        <f aca="false">IF(AND(EF$7=$I32,ISNUMBER($I32)),"◆","")</f>
        <v/>
      </c>
      <c r="EG32" s="57" t="str">
        <f aca="false">IF(AND(EG$7=$I32,ISNUMBER($I32)),"◆","")</f>
        <v/>
      </c>
      <c r="EH32" s="57" t="str">
        <f aca="false">IF(AND(EH$7=$I32,ISNUMBER($I32)),"◆","")</f>
        <v/>
      </c>
      <c r="EI32" s="57" t="str">
        <f aca="false">IF(AND(EI$7=$I32,ISNUMBER($I32)),"◆","")</f>
        <v/>
      </c>
      <c r="EJ32" s="57" t="str">
        <f aca="false">IF(AND(EJ$7=$I32,ISNUMBER($I32)),"◆","")</f>
        <v/>
      </c>
      <c r="EK32" s="57" t="str">
        <f aca="false">IF(AND(EK$7=$I32,ISNUMBER($I32)),"◆","")</f>
        <v/>
      </c>
      <c r="EL32" s="57" t="str">
        <f aca="false">IF(AND(EL$7=$I32,ISNUMBER($I32)),"◆","")</f>
        <v/>
      </c>
      <c r="EM32" s="57" t="str">
        <f aca="false">IF(AND(EM$7=$I32,ISNUMBER($I32)),"◆","")</f>
        <v/>
      </c>
    </row>
    <row r="33" customFormat="false" ht="21.75" hidden="false" customHeight="true" outlineLevel="0" collapsed="false">
      <c r="A33" s="45" t="s">
        <v>79</v>
      </c>
      <c r="B33" s="45"/>
      <c r="C33" s="45"/>
      <c r="D33" s="45"/>
      <c r="E33" s="45"/>
      <c r="F33" s="46" t="s">
        <v>74</v>
      </c>
      <c r="G33" s="47" t="n">
        <f aca="false">MIN(制作工程表!G27:G31)</f>
        <v>46421</v>
      </c>
      <c r="H33" s="47" t="n">
        <f aca="false">MAX(制作工程表!H27:H31)</f>
        <v>46451</v>
      </c>
      <c r="I33" s="47" t="n">
        <f aca="false">IF(MAX(制作工程表!I27:I31)=0,"—",MAX(制作工程表!I27:I31))</f>
        <v>46448</v>
      </c>
      <c r="J33" s="48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  <c r="CK33" s="49"/>
      <c r="CL33" s="49"/>
      <c r="CM33" s="49"/>
      <c r="CN33" s="49"/>
      <c r="CO33" s="49"/>
      <c r="CP33" s="49"/>
      <c r="CQ33" s="49"/>
      <c r="CR33" s="49"/>
      <c r="CS33" s="49"/>
      <c r="CT33" s="49"/>
      <c r="CU33" s="49"/>
      <c r="CV33" s="49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</row>
    <row r="34" customFormat="false" ht="25.5" hidden="false" customHeight="true" outlineLevel="0" collapsed="false">
      <c r="A34" s="50" t="str">
        <f aca="false">制作工程表!A27</f>
        <v>T19</v>
      </c>
      <c r="B34" s="51" t="str">
        <f aca="false">制作工程表!B27</f>
        <v>実装</v>
      </c>
      <c r="C34" s="52" t="str">
        <f aca="false">制作工程表!C27</f>
        <v>ページ実装・スマホ対応・見積もりフォーム</v>
      </c>
      <c r="D34" s="53" t="str">
        <f aca="false">制作工程表!D27</f>
        <v>実装担当</v>
      </c>
      <c r="E34" s="53" t="str">
        <f aca="false">制作工程表!E27</f>
        <v>—</v>
      </c>
      <c r="F34" s="54" t="str">
        <f aca="false">IF(制作工程表!B27="取材撮影","撮影",IF(OR(制作工程表!D27="総務窓口",制作工程表!D27="工場長",制作工程表!D27="代表",制作工程表!D27="営業・生産管理"),"企業","制作"))</f>
        <v>制作</v>
      </c>
      <c r="G34" s="55" t="n">
        <f aca="false">制作工程表!G27</f>
        <v>46421</v>
      </c>
      <c r="H34" s="55" t="n">
        <f aca="false">制作工程表!H27</f>
        <v>46433</v>
      </c>
      <c r="I34" s="56" t="str">
        <f aca="false">制作工程表!I27</f>
        <v>—</v>
      </c>
      <c r="J34" s="51" t="str">
        <f aca="false">制作工程表!K27</f>
        <v>未着手</v>
      </c>
      <c r="K34" s="57" t="str">
        <f aca="false">IF(AND(K$7=$I34,ISNUMBER($I34)),"◆","")</f>
        <v/>
      </c>
      <c r="L34" s="57" t="str">
        <f aca="false">IF(AND(L$7=$I34,ISNUMBER($I34)),"◆","")</f>
        <v/>
      </c>
      <c r="M34" s="57" t="str">
        <f aca="false">IF(AND(M$7=$I34,ISNUMBER($I34)),"◆","")</f>
        <v/>
      </c>
      <c r="N34" s="57" t="str">
        <f aca="false">IF(AND(N$7=$I34,ISNUMBER($I34)),"◆","")</f>
        <v/>
      </c>
      <c r="O34" s="57" t="str">
        <f aca="false">IF(AND(O$7=$I34,ISNUMBER($I34)),"◆","")</f>
        <v/>
      </c>
      <c r="P34" s="57" t="str">
        <f aca="false">IF(AND(P$7=$I34,ISNUMBER($I34)),"◆","")</f>
        <v/>
      </c>
      <c r="Q34" s="57" t="str">
        <f aca="false">IF(AND(Q$7=$I34,ISNUMBER($I34)),"◆","")</f>
        <v/>
      </c>
      <c r="R34" s="57" t="str">
        <f aca="false">IF(AND(R$7=$I34,ISNUMBER($I34)),"◆","")</f>
        <v/>
      </c>
      <c r="S34" s="57" t="str">
        <f aca="false">IF(AND(S$7=$I34,ISNUMBER($I34)),"◆","")</f>
        <v/>
      </c>
      <c r="T34" s="57" t="str">
        <f aca="false">IF(AND(T$7=$I34,ISNUMBER($I34)),"◆","")</f>
        <v/>
      </c>
      <c r="U34" s="57" t="str">
        <f aca="false">IF(AND(U$7=$I34,ISNUMBER($I34)),"◆","")</f>
        <v/>
      </c>
      <c r="V34" s="57" t="str">
        <f aca="false">IF(AND(V$7=$I34,ISNUMBER($I34)),"◆","")</f>
        <v/>
      </c>
      <c r="W34" s="57" t="str">
        <f aca="false">IF(AND(W$7=$I34,ISNUMBER($I34)),"◆","")</f>
        <v/>
      </c>
      <c r="X34" s="57" t="str">
        <f aca="false">IF(AND(X$7=$I34,ISNUMBER($I34)),"◆","")</f>
        <v/>
      </c>
      <c r="Y34" s="57" t="str">
        <f aca="false">IF(AND(Y$7=$I34,ISNUMBER($I34)),"◆","")</f>
        <v/>
      </c>
      <c r="Z34" s="57" t="str">
        <f aca="false">IF(AND(Z$7=$I34,ISNUMBER($I34)),"◆","")</f>
        <v/>
      </c>
      <c r="AA34" s="57" t="str">
        <f aca="false">IF(AND(AA$7=$I34,ISNUMBER($I34)),"◆","")</f>
        <v/>
      </c>
      <c r="AB34" s="57" t="str">
        <f aca="false">IF(AND(AB$7=$I34,ISNUMBER($I34)),"◆","")</f>
        <v/>
      </c>
      <c r="AC34" s="57" t="str">
        <f aca="false">IF(AND(AC$7=$I34,ISNUMBER($I34)),"◆","")</f>
        <v/>
      </c>
      <c r="AD34" s="57" t="str">
        <f aca="false">IF(AND(AD$7=$I34,ISNUMBER($I34)),"◆","")</f>
        <v/>
      </c>
      <c r="AE34" s="57" t="str">
        <f aca="false">IF(AND(AE$7=$I34,ISNUMBER($I34)),"◆","")</f>
        <v/>
      </c>
      <c r="AF34" s="57" t="str">
        <f aca="false">IF(AND(AF$7=$I34,ISNUMBER($I34)),"◆","")</f>
        <v/>
      </c>
      <c r="AG34" s="57" t="str">
        <f aca="false">IF(AND(AG$7=$I34,ISNUMBER($I34)),"◆","")</f>
        <v/>
      </c>
      <c r="AH34" s="57" t="str">
        <f aca="false">IF(AND(AH$7=$I34,ISNUMBER($I34)),"◆","")</f>
        <v/>
      </c>
      <c r="AI34" s="57" t="str">
        <f aca="false">IF(AND(AI$7=$I34,ISNUMBER($I34)),"◆","")</f>
        <v/>
      </c>
      <c r="AJ34" s="57" t="str">
        <f aca="false">IF(AND(AJ$7=$I34,ISNUMBER($I34)),"◆","")</f>
        <v/>
      </c>
      <c r="AK34" s="57" t="str">
        <f aca="false">IF(AND(AK$7=$I34,ISNUMBER($I34)),"◆","")</f>
        <v/>
      </c>
      <c r="AL34" s="57" t="str">
        <f aca="false">IF(AND(AL$7=$I34,ISNUMBER($I34)),"◆","")</f>
        <v/>
      </c>
      <c r="AM34" s="57" t="str">
        <f aca="false">IF(AND(AM$7=$I34,ISNUMBER($I34)),"◆","")</f>
        <v/>
      </c>
      <c r="AN34" s="57" t="str">
        <f aca="false">IF(AND(AN$7=$I34,ISNUMBER($I34)),"◆","")</f>
        <v/>
      </c>
      <c r="AO34" s="57" t="str">
        <f aca="false">IF(AND(AO$7=$I34,ISNUMBER($I34)),"◆","")</f>
        <v/>
      </c>
      <c r="AP34" s="57" t="str">
        <f aca="false">IF(AND(AP$7=$I34,ISNUMBER($I34)),"◆","")</f>
        <v/>
      </c>
      <c r="AQ34" s="57" t="str">
        <f aca="false">IF(AND(AQ$7=$I34,ISNUMBER($I34)),"◆","")</f>
        <v/>
      </c>
      <c r="AR34" s="57" t="str">
        <f aca="false">IF(AND(AR$7=$I34,ISNUMBER($I34)),"◆","")</f>
        <v/>
      </c>
      <c r="AS34" s="57" t="str">
        <f aca="false">IF(AND(AS$7=$I34,ISNUMBER($I34)),"◆","")</f>
        <v/>
      </c>
      <c r="AT34" s="57" t="str">
        <f aca="false">IF(AND(AT$7=$I34,ISNUMBER($I34)),"◆","")</f>
        <v/>
      </c>
      <c r="AU34" s="57" t="str">
        <f aca="false">IF(AND(AU$7=$I34,ISNUMBER($I34)),"◆","")</f>
        <v/>
      </c>
      <c r="AV34" s="57" t="str">
        <f aca="false">IF(AND(AV$7=$I34,ISNUMBER($I34)),"◆","")</f>
        <v/>
      </c>
      <c r="AW34" s="57" t="str">
        <f aca="false">IF(AND(AW$7=$I34,ISNUMBER($I34)),"◆","")</f>
        <v/>
      </c>
      <c r="AX34" s="57" t="str">
        <f aca="false">IF(AND(AX$7=$I34,ISNUMBER($I34)),"◆","")</f>
        <v/>
      </c>
      <c r="AY34" s="57" t="str">
        <f aca="false">IF(AND(AY$7=$I34,ISNUMBER($I34)),"◆","")</f>
        <v/>
      </c>
      <c r="AZ34" s="57" t="str">
        <f aca="false">IF(AND(AZ$7=$I34,ISNUMBER($I34)),"◆","")</f>
        <v/>
      </c>
      <c r="BA34" s="57" t="str">
        <f aca="false">IF(AND(BA$7=$I34,ISNUMBER($I34)),"◆","")</f>
        <v/>
      </c>
      <c r="BB34" s="57" t="str">
        <f aca="false">IF(AND(BB$7=$I34,ISNUMBER($I34)),"◆","")</f>
        <v/>
      </c>
      <c r="BC34" s="57" t="str">
        <f aca="false">IF(AND(BC$7=$I34,ISNUMBER($I34)),"◆","")</f>
        <v/>
      </c>
      <c r="BD34" s="57" t="str">
        <f aca="false">IF(AND(BD$7=$I34,ISNUMBER($I34)),"◆","")</f>
        <v/>
      </c>
      <c r="BE34" s="57" t="str">
        <f aca="false">IF(AND(BE$7=$I34,ISNUMBER($I34)),"◆","")</f>
        <v/>
      </c>
      <c r="BF34" s="57" t="str">
        <f aca="false">IF(AND(BF$7=$I34,ISNUMBER($I34)),"◆","")</f>
        <v/>
      </c>
      <c r="BG34" s="57" t="str">
        <f aca="false">IF(AND(BG$7=$I34,ISNUMBER($I34)),"◆","")</f>
        <v/>
      </c>
      <c r="BH34" s="57" t="str">
        <f aca="false">IF(AND(BH$7=$I34,ISNUMBER($I34)),"◆","")</f>
        <v/>
      </c>
      <c r="BI34" s="57" t="str">
        <f aca="false">IF(AND(BI$7=$I34,ISNUMBER($I34)),"◆","")</f>
        <v/>
      </c>
      <c r="BJ34" s="57" t="str">
        <f aca="false">IF(AND(BJ$7=$I34,ISNUMBER($I34)),"◆","")</f>
        <v/>
      </c>
      <c r="BK34" s="57" t="str">
        <f aca="false">IF(AND(BK$7=$I34,ISNUMBER($I34)),"◆","")</f>
        <v/>
      </c>
      <c r="BL34" s="57" t="str">
        <f aca="false">IF(AND(BL$7=$I34,ISNUMBER($I34)),"◆","")</f>
        <v/>
      </c>
      <c r="BM34" s="57" t="str">
        <f aca="false">IF(AND(BM$7=$I34,ISNUMBER($I34)),"◆","")</f>
        <v/>
      </c>
      <c r="BN34" s="57" t="str">
        <f aca="false">IF(AND(BN$7=$I34,ISNUMBER($I34)),"◆","")</f>
        <v/>
      </c>
      <c r="BO34" s="57" t="str">
        <f aca="false">IF(AND(BO$7=$I34,ISNUMBER($I34)),"◆","")</f>
        <v/>
      </c>
      <c r="BP34" s="57" t="str">
        <f aca="false">IF(AND(BP$7=$I34,ISNUMBER($I34)),"◆","")</f>
        <v/>
      </c>
      <c r="BQ34" s="57" t="str">
        <f aca="false">IF(AND(BQ$7=$I34,ISNUMBER($I34)),"◆","")</f>
        <v/>
      </c>
      <c r="BR34" s="57" t="str">
        <f aca="false">IF(AND(BR$7=$I34,ISNUMBER($I34)),"◆","")</f>
        <v/>
      </c>
      <c r="BS34" s="57" t="str">
        <f aca="false">IF(AND(BS$7=$I34,ISNUMBER($I34)),"◆","")</f>
        <v/>
      </c>
      <c r="BT34" s="57" t="str">
        <f aca="false">IF(AND(BT$7=$I34,ISNUMBER($I34)),"◆","")</f>
        <v/>
      </c>
      <c r="BU34" s="57" t="str">
        <f aca="false">IF(AND(BU$7=$I34,ISNUMBER($I34)),"◆","")</f>
        <v/>
      </c>
      <c r="BV34" s="57" t="str">
        <f aca="false">IF(AND(BV$7=$I34,ISNUMBER($I34)),"◆","")</f>
        <v/>
      </c>
      <c r="BW34" s="57" t="str">
        <f aca="false">IF(AND(BW$7=$I34,ISNUMBER($I34)),"◆","")</f>
        <v/>
      </c>
      <c r="BX34" s="57" t="str">
        <f aca="false">IF(AND(BX$7=$I34,ISNUMBER($I34)),"◆","")</f>
        <v/>
      </c>
      <c r="BY34" s="57" t="str">
        <f aca="false">IF(AND(BY$7=$I34,ISNUMBER($I34)),"◆","")</f>
        <v/>
      </c>
      <c r="BZ34" s="57" t="str">
        <f aca="false">IF(AND(BZ$7=$I34,ISNUMBER($I34)),"◆","")</f>
        <v/>
      </c>
      <c r="CA34" s="57" t="str">
        <f aca="false">IF(AND(CA$7=$I34,ISNUMBER($I34)),"◆","")</f>
        <v/>
      </c>
      <c r="CB34" s="57" t="str">
        <f aca="false">IF(AND(CB$7=$I34,ISNUMBER($I34)),"◆","")</f>
        <v/>
      </c>
      <c r="CC34" s="57" t="str">
        <f aca="false">IF(AND(CC$7=$I34,ISNUMBER($I34)),"◆","")</f>
        <v/>
      </c>
      <c r="CD34" s="57" t="str">
        <f aca="false">IF(AND(CD$7=$I34,ISNUMBER($I34)),"◆","")</f>
        <v/>
      </c>
      <c r="CE34" s="57" t="str">
        <f aca="false">IF(AND(CE$7=$I34,ISNUMBER($I34)),"◆","")</f>
        <v/>
      </c>
      <c r="CF34" s="57" t="str">
        <f aca="false">IF(AND(CF$7=$I34,ISNUMBER($I34)),"◆","")</f>
        <v/>
      </c>
      <c r="CG34" s="57" t="str">
        <f aca="false">IF(AND(CG$7=$I34,ISNUMBER($I34)),"◆","")</f>
        <v/>
      </c>
      <c r="CH34" s="57" t="str">
        <f aca="false">IF(AND(CH$7=$I34,ISNUMBER($I34)),"◆","")</f>
        <v/>
      </c>
      <c r="CI34" s="57" t="str">
        <f aca="false">IF(AND(CI$7=$I34,ISNUMBER($I34)),"◆","")</f>
        <v/>
      </c>
      <c r="CJ34" s="57" t="str">
        <f aca="false">IF(AND(CJ$7=$I34,ISNUMBER($I34)),"◆","")</f>
        <v/>
      </c>
      <c r="CK34" s="57" t="str">
        <f aca="false">IF(AND(CK$7=$I34,ISNUMBER($I34)),"◆","")</f>
        <v/>
      </c>
      <c r="CL34" s="57" t="str">
        <f aca="false">IF(AND(CL$7=$I34,ISNUMBER($I34)),"◆","")</f>
        <v/>
      </c>
      <c r="CM34" s="57" t="str">
        <f aca="false">IF(AND(CM$7=$I34,ISNUMBER($I34)),"◆","")</f>
        <v/>
      </c>
      <c r="CN34" s="57" t="str">
        <f aca="false">IF(AND(CN$7=$I34,ISNUMBER($I34)),"◆","")</f>
        <v/>
      </c>
      <c r="CO34" s="57" t="str">
        <f aca="false">IF(AND(CO$7=$I34,ISNUMBER($I34)),"◆","")</f>
        <v/>
      </c>
      <c r="CP34" s="57" t="str">
        <f aca="false">IF(AND(CP$7=$I34,ISNUMBER($I34)),"◆","")</f>
        <v/>
      </c>
      <c r="CQ34" s="57" t="str">
        <f aca="false">IF(AND(CQ$7=$I34,ISNUMBER($I34)),"◆","")</f>
        <v/>
      </c>
      <c r="CR34" s="57" t="str">
        <f aca="false">IF(AND(CR$7=$I34,ISNUMBER($I34)),"◆","")</f>
        <v/>
      </c>
      <c r="CS34" s="57" t="str">
        <f aca="false">IF(AND(CS$7=$I34,ISNUMBER($I34)),"◆","")</f>
        <v/>
      </c>
      <c r="CT34" s="57" t="str">
        <f aca="false">IF(AND(CT$7=$I34,ISNUMBER($I34)),"◆","")</f>
        <v/>
      </c>
      <c r="CU34" s="57" t="str">
        <f aca="false">IF(AND(CU$7=$I34,ISNUMBER($I34)),"◆","")</f>
        <v/>
      </c>
      <c r="CV34" s="57" t="str">
        <f aca="false">IF(AND(CV$7=$I34,ISNUMBER($I34)),"◆","")</f>
        <v/>
      </c>
      <c r="CW34" s="57" t="str">
        <f aca="false">IF(AND(CW$7=$I34,ISNUMBER($I34)),"◆","")</f>
        <v/>
      </c>
      <c r="CX34" s="57" t="str">
        <f aca="false">IF(AND(CX$7=$I34,ISNUMBER($I34)),"◆","")</f>
        <v/>
      </c>
      <c r="CY34" s="57" t="str">
        <f aca="false">IF(AND(CY$7=$I34,ISNUMBER($I34)),"◆","")</f>
        <v/>
      </c>
      <c r="CZ34" s="57" t="str">
        <f aca="false">IF(AND(CZ$7=$I34,ISNUMBER($I34)),"◆","")</f>
        <v/>
      </c>
      <c r="DA34" s="57" t="str">
        <f aca="false">IF(AND(DA$7=$I34,ISNUMBER($I34)),"◆","")</f>
        <v/>
      </c>
      <c r="DB34" s="57" t="str">
        <f aca="false">IF(AND(DB$7=$I34,ISNUMBER($I34)),"◆","")</f>
        <v/>
      </c>
      <c r="DC34" s="57" t="str">
        <f aca="false">IF(AND(DC$7=$I34,ISNUMBER($I34)),"◆","")</f>
        <v/>
      </c>
      <c r="DD34" s="57" t="str">
        <f aca="false">IF(AND(DD$7=$I34,ISNUMBER($I34)),"◆","")</f>
        <v/>
      </c>
      <c r="DE34" s="57" t="str">
        <f aca="false">IF(AND(DE$7=$I34,ISNUMBER($I34)),"◆","")</f>
        <v/>
      </c>
      <c r="DF34" s="57" t="str">
        <f aca="false">IF(AND(DF$7=$I34,ISNUMBER($I34)),"◆","")</f>
        <v/>
      </c>
      <c r="DG34" s="57" t="str">
        <f aca="false">IF(AND(DG$7=$I34,ISNUMBER($I34)),"◆","")</f>
        <v/>
      </c>
      <c r="DH34" s="57" t="str">
        <f aca="false">IF(AND(DH$7=$I34,ISNUMBER($I34)),"◆","")</f>
        <v/>
      </c>
      <c r="DI34" s="57" t="str">
        <f aca="false">IF(AND(DI$7=$I34,ISNUMBER($I34)),"◆","")</f>
        <v/>
      </c>
      <c r="DJ34" s="57" t="str">
        <f aca="false">IF(AND(DJ$7=$I34,ISNUMBER($I34)),"◆","")</f>
        <v/>
      </c>
      <c r="DK34" s="57" t="str">
        <f aca="false">IF(AND(DK$7=$I34,ISNUMBER($I34)),"◆","")</f>
        <v/>
      </c>
      <c r="DL34" s="57" t="str">
        <f aca="false">IF(AND(DL$7=$I34,ISNUMBER($I34)),"◆","")</f>
        <v/>
      </c>
      <c r="DM34" s="57" t="str">
        <f aca="false">IF(AND(DM$7=$I34,ISNUMBER($I34)),"◆","")</f>
        <v/>
      </c>
      <c r="DN34" s="57" t="str">
        <f aca="false">IF(AND(DN$7=$I34,ISNUMBER($I34)),"◆","")</f>
        <v/>
      </c>
      <c r="DO34" s="57" t="str">
        <f aca="false">IF(AND(DO$7=$I34,ISNUMBER($I34)),"◆","")</f>
        <v/>
      </c>
      <c r="DP34" s="57" t="str">
        <f aca="false">IF(AND(DP$7=$I34,ISNUMBER($I34)),"◆","")</f>
        <v/>
      </c>
      <c r="DQ34" s="57" t="str">
        <f aca="false">IF(AND(DQ$7=$I34,ISNUMBER($I34)),"◆","")</f>
        <v/>
      </c>
      <c r="DR34" s="57" t="str">
        <f aca="false">IF(AND(DR$7=$I34,ISNUMBER($I34)),"◆","")</f>
        <v/>
      </c>
      <c r="DS34" s="57" t="str">
        <f aca="false">IF(AND(DS$7=$I34,ISNUMBER($I34)),"◆","")</f>
        <v/>
      </c>
      <c r="DT34" s="57" t="str">
        <f aca="false">IF(AND(DT$7=$I34,ISNUMBER($I34)),"◆","")</f>
        <v/>
      </c>
      <c r="DU34" s="57" t="str">
        <f aca="false">IF(AND(DU$7=$I34,ISNUMBER($I34)),"◆","")</f>
        <v/>
      </c>
      <c r="DV34" s="57" t="str">
        <f aca="false">IF(AND(DV$7=$I34,ISNUMBER($I34)),"◆","")</f>
        <v/>
      </c>
      <c r="DW34" s="57" t="str">
        <f aca="false">IF(AND(DW$7=$I34,ISNUMBER($I34)),"◆","")</f>
        <v/>
      </c>
      <c r="DX34" s="57" t="str">
        <f aca="false">IF(AND(DX$7=$I34,ISNUMBER($I34)),"◆","")</f>
        <v/>
      </c>
      <c r="DY34" s="57" t="str">
        <f aca="false">IF(AND(DY$7=$I34,ISNUMBER($I34)),"◆","")</f>
        <v/>
      </c>
      <c r="DZ34" s="57" t="str">
        <f aca="false">IF(AND(DZ$7=$I34,ISNUMBER($I34)),"◆","")</f>
        <v/>
      </c>
      <c r="EA34" s="57" t="str">
        <f aca="false">IF(AND(EA$7=$I34,ISNUMBER($I34)),"◆","")</f>
        <v/>
      </c>
      <c r="EB34" s="57" t="str">
        <f aca="false">IF(AND(EB$7=$I34,ISNUMBER($I34)),"◆","")</f>
        <v/>
      </c>
      <c r="EC34" s="57" t="str">
        <f aca="false">IF(AND(EC$7=$I34,ISNUMBER($I34)),"◆","")</f>
        <v/>
      </c>
      <c r="ED34" s="57" t="str">
        <f aca="false">IF(AND(ED$7=$I34,ISNUMBER($I34)),"◆","")</f>
        <v/>
      </c>
      <c r="EE34" s="57" t="str">
        <f aca="false">IF(AND(EE$7=$I34,ISNUMBER($I34)),"◆","")</f>
        <v/>
      </c>
      <c r="EF34" s="57" t="str">
        <f aca="false">IF(AND(EF$7=$I34,ISNUMBER($I34)),"◆","")</f>
        <v/>
      </c>
      <c r="EG34" s="57" t="str">
        <f aca="false">IF(AND(EG$7=$I34,ISNUMBER($I34)),"◆","")</f>
        <v/>
      </c>
      <c r="EH34" s="57" t="str">
        <f aca="false">IF(AND(EH$7=$I34,ISNUMBER($I34)),"◆","")</f>
        <v/>
      </c>
      <c r="EI34" s="57" t="str">
        <f aca="false">IF(AND(EI$7=$I34,ISNUMBER($I34)),"◆","")</f>
        <v/>
      </c>
      <c r="EJ34" s="57" t="str">
        <f aca="false">IF(AND(EJ$7=$I34,ISNUMBER($I34)),"◆","")</f>
        <v/>
      </c>
      <c r="EK34" s="57" t="str">
        <f aca="false">IF(AND(EK$7=$I34,ISNUMBER($I34)),"◆","")</f>
        <v/>
      </c>
      <c r="EL34" s="57" t="str">
        <f aca="false">IF(AND(EL$7=$I34,ISNUMBER($I34)),"◆","")</f>
        <v/>
      </c>
      <c r="EM34" s="57" t="str">
        <f aca="false">IF(AND(EM$7=$I34,ISNUMBER($I34)),"◆","")</f>
        <v/>
      </c>
    </row>
    <row r="35" customFormat="false" ht="25.5" hidden="false" customHeight="true" outlineLevel="0" collapsed="false">
      <c r="A35" s="50" t="str">
        <f aca="false">制作工程表!A28</f>
        <v>T20</v>
      </c>
      <c r="B35" s="51" t="str">
        <f aca="false">制作工程表!B28</f>
        <v>確認</v>
      </c>
      <c r="C35" s="52" t="str">
        <f aca="false">制作工程表!C28</f>
        <v>表示・リンク・フォームの確認（制作内）</v>
      </c>
      <c r="D35" s="53" t="str">
        <f aca="false">制作工程表!D28</f>
        <v>実装担当・編集ディレクター</v>
      </c>
      <c r="E35" s="53" t="str">
        <f aca="false">制作工程表!E28</f>
        <v>—</v>
      </c>
      <c r="F35" s="54" t="str">
        <f aca="false">IF(制作工程表!B28="取材撮影","撮影",IF(OR(制作工程表!D28="総務窓口",制作工程表!D28="工場長",制作工程表!D28="代表",制作工程表!D28="営業・生産管理"),"企業","制作"))</f>
        <v>制作</v>
      </c>
      <c r="G35" s="55" t="n">
        <f aca="false">制作工程表!G28</f>
        <v>46434</v>
      </c>
      <c r="H35" s="55" t="n">
        <f aca="false">制作工程表!H28</f>
        <v>46436</v>
      </c>
      <c r="I35" s="56" t="str">
        <f aca="false">制作工程表!I28</f>
        <v>—</v>
      </c>
      <c r="J35" s="51" t="str">
        <f aca="false">制作工程表!K28</f>
        <v>未着手</v>
      </c>
      <c r="K35" s="57" t="str">
        <f aca="false">IF(AND(K$7=$I35,ISNUMBER($I35)),"◆","")</f>
        <v/>
      </c>
      <c r="L35" s="57" t="str">
        <f aca="false">IF(AND(L$7=$I35,ISNUMBER($I35)),"◆","")</f>
        <v/>
      </c>
      <c r="M35" s="57" t="str">
        <f aca="false">IF(AND(M$7=$I35,ISNUMBER($I35)),"◆","")</f>
        <v/>
      </c>
      <c r="N35" s="57" t="str">
        <f aca="false">IF(AND(N$7=$I35,ISNUMBER($I35)),"◆","")</f>
        <v/>
      </c>
      <c r="O35" s="57" t="str">
        <f aca="false">IF(AND(O$7=$I35,ISNUMBER($I35)),"◆","")</f>
        <v/>
      </c>
      <c r="P35" s="57" t="str">
        <f aca="false">IF(AND(P$7=$I35,ISNUMBER($I35)),"◆","")</f>
        <v/>
      </c>
      <c r="Q35" s="57" t="str">
        <f aca="false">IF(AND(Q$7=$I35,ISNUMBER($I35)),"◆","")</f>
        <v/>
      </c>
      <c r="R35" s="57" t="str">
        <f aca="false">IF(AND(R$7=$I35,ISNUMBER($I35)),"◆","")</f>
        <v/>
      </c>
      <c r="S35" s="57" t="str">
        <f aca="false">IF(AND(S$7=$I35,ISNUMBER($I35)),"◆","")</f>
        <v/>
      </c>
      <c r="T35" s="57" t="str">
        <f aca="false">IF(AND(T$7=$I35,ISNUMBER($I35)),"◆","")</f>
        <v/>
      </c>
      <c r="U35" s="57" t="str">
        <f aca="false">IF(AND(U$7=$I35,ISNUMBER($I35)),"◆","")</f>
        <v/>
      </c>
      <c r="V35" s="57" t="str">
        <f aca="false">IF(AND(V$7=$I35,ISNUMBER($I35)),"◆","")</f>
        <v/>
      </c>
      <c r="W35" s="57" t="str">
        <f aca="false">IF(AND(W$7=$I35,ISNUMBER($I35)),"◆","")</f>
        <v/>
      </c>
      <c r="X35" s="57" t="str">
        <f aca="false">IF(AND(X$7=$I35,ISNUMBER($I35)),"◆","")</f>
        <v/>
      </c>
      <c r="Y35" s="57" t="str">
        <f aca="false">IF(AND(Y$7=$I35,ISNUMBER($I35)),"◆","")</f>
        <v/>
      </c>
      <c r="Z35" s="57" t="str">
        <f aca="false">IF(AND(Z$7=$I35,ISNUMBER($I35)),"◆","")</f>
        <v/>
      </c>
      <c r="AA35" s="57" t="str">
        <f aca="false">IF(AND(AA$7=$I35,ISNUMBER($I35)),"◆","")</f>
        <v/>
      </c>
      <c r="AB35" s="57" t="str">
        <f aca="false">IF(AND(AB$7=$I35,ISNUMBER($I35)),"◆","")</f>
        <v/>
      </c>
      <c r="AC35" s="57" t="str">
        <f aca="false">IF(AND(AC$7=$I35,ISNUMBER($I35)),"◆","")</f>
        <v/>
      </c>
      <c r="AD35" s="57" t="str">
        <f aca="false">IF(AND(AD$7=$I35,ISNUMBER($I35)),"◆","")</f>
        <v/>
      </c>
      <c r="AE35" s="57" t="str">
        <f aca="false">IF(AND(AE$7=$I35,ISNUMBER($I35)),"◆","")</f>
        <v/>
      </c>
      <c r="AF35" s="57" t="str">
        <f aca="false">IF(AND(AF$7=$I35,ISNUMBER($I35)),"◆","")</f>
        <v/>
      </c>
      <c r="AG35" s="57" t="str">
        <f aca="false">IF(AND(AG$7=$I35,ISNUMBER($I35)),"◆","")</f>
        <v/>
      </c>
      <c r="AH35" s="57" t="str">
        <f aca="false">IF(AND(AH$7=$I35,ISNUMBER($I35)),"◆","")</f>
        <v/>
      </c>
      <c r="AI35" s="57" t="str">
        <f aca="false">IF(AND(AI$7=$I35,ISNUMBER($I35)),"◆","")</f>
        <v/>
      </c>
      <c r="AJ35" s="57" t="str">
        <f aca="false">IF(AND(AJ$7=$I35,ISNUMBER($I35)),"◆","")</f>
        <v/>
      </c>
      <c r="AK35" s="57" t="str">
        <f aca="false">IF(AND(AK$7=$I35,ISNUMBER($I35)),"◆","")</f>
        <v/>
      </c>
      <c r="AL35" s="57" t="str">
        <f aca="false">IF(AND(AL$7=$I35,ISNUMBER($I35)),"◆","")</f>
        <v/>
      </c>
      <c r="AM35" s="57" t="str">
        <f aca="false">IF(AND(AM$7=$I35,ISNUMBER($I35)),"◆","")</f>
        <v/>
      </c>
      <c r="AN35" s="57" t="str">
        <f aca="false">IF(AND(AN$7=$I35,ISNUMBER($I35)),"◆","")</f>
        <v/>
      </c>
      <c r="AO35" s="57" t="str">
        <f aca="false">IF(AND(AO$7=$I35,ISNUMBER($I35)),"◆","")</f>
        <v/>
      </c>
      <c r="AP35" s="57" t="str">
        <f aca="false">IF(AND(AP$7=$I35,ISNUMBER($I35)),"◆","")</f>
        <v/>
      </c>
      <c r="AQ35" s="57" t="str">
        <f aca="false">IF(AND(AQ$7=$I35,ISNUMBER($I35)),"◆","")</f>
        <v/>
      </c>
      <c r="AR35" s="57" t="str">
        <f aca="false">IF(AND(AR$7=$I35,ISNUMBER($I35)),"◆","")</f>
        <v/>
      </c>
      <c r="AS35" s="57" t="str">
        <f aca="false">IF(AND(AS$7=$I35,ISNUMBER($I35)),"◆","")</f>
        <v/>
      </c>
      <c r="AT35" s="57" t="str">
        <f aca="false">IF(AND(AT$7=$I35,ISNUMBER($I35)),"◆","")</f>
        <v/>
      </c>
      <c r="AU35" s="57" t="str">
        <f aca="false">IF(AND(AU$7=$I35,ISNUMBER($I35)),"◆","")</f>
        <v/>
      </c>
      <c r="AV35" s="57" t="str">
        <f aca="false">IF(AND(AV$7=$I35,ISNUMBER($I35)),"◆","")</f>
        <v/>
      </c>
      <c r="AW35" s="57" t="str">
        <f aca="false">IF(AND(AW$7=$I35,ISNUMBER($I35)),"◆","")</f>
        <v/>
      </c>
      <c r="AX35" s="57" t="str">
        <f aca="false">IF(AND(AX$7=$I35,ISNUMBER($I35)),"◆","")</f>
        <v/>
      </c>
      <c r="AY35" s="57" t="str">
        <f aca="false">IF(AND(AY$7=$I35,ISNUMBER($I35)),"◆","")</f>
        <v/>
      </c>
      <c r="AZ35" s="57" t="str">
        <f aca="false">IF(AND(AZ$7=$I35,ISNUMBER($I35)),"◆","")</f>
        <v/>
      </c>
      <c r="BA35" s="57" t="str">
        <f aca="false">IF(AND(BA$7=$I35,ISNUMBER($I35)),"◆","")</f>
        <v/>
      </c>
      <c r="BB35" s="57" t="str">
        <f aca="false">IF(AND(BB$7=$I35,ISNUMBER($I35)),"◆","")</f>
        <v/>
      </c>
      <c r="BC35" s="57" t="str">
        <f aca="false">IF(AND(BC$7=$I35,ISNUMBER($I35)),"◆","")</f>
        <v/>
      </c>
      <c r="BD35" s="57" t="str">
        <f aca="false">IF(AND(BD$7=$I35,ISNUMBER($I35)),"◆","")</f>
        <v/>
      </c>
      <c r="BE35" s="57" t="str">
        <f aca="false">IF(AND(BE$7=$I35,ISNUMBER($I35)),"◆","")</f>
        <v/>
      </c>
      <c r="BF35" s="57" t="str">
        <f aca="false">IF(AND(BF$7=$I35,ISNUMBER($I35)),"◆","")</f>
        <v/>
      </c>
      <c r="BG35" s="57" t="str">
        <f aca="false">IF(AND(BG$7=$I35,ISNUMBER($I35)),"◆","")</f>
        <v/>
      </c>
      <c r="BH35" s="57" t="str">
        <f aca="false">IF(AND(BH$7=$I35,ISNUMBER($I35)),"◆","")</f>
        <v/>
      </c>
      <c r="BI35" s="57" t="str">
        <f aca="false">IF(AND(BI$7=$I35,ISNUMBER($I35)),"◆","")</f>
        <v/>
      </c>
      <c r="BJ35" s="57" t="str">
        <f aca="false">IF(AND(BJ$7=$I35,ISNUMBER($I35)),"◆","")</f>
        <v/>
      </c>
      <c r="BK35" s="57" t="str">
        <f aca="false">IF(AND(BK$7=$I35,ISNUMBER($I35)),"◆","")</f>
        <v/>
      </c>
      <c r="BL35" s="57" t="str">
        <f aca="false">IF(AND(BL$7=$I35,ISNUMBER($I35)),"◆","")</f>
        <v/>
      </c>
      <c r="BM35" s="57" t="str">
        <f aca="false">IF(AND(BM$7=$I35,ISNUMBER($I35)),"◆","")</f>
        <v/>
      </c>
      <c r="BN35" s="57" t="str">
        <f aca="false">IF(AND(BN$7=$I35,ISNUMBER($I35)),"◆","")</f>
        <v/>
      </c>
      <c r="BO35" s="57" t="str">
        <f aca="false">IF(AND(BO$7=$I35,ISNUMBER($I35)),"◆","")</f>
        <v/>
      </c>
      <c r="BP35" s="57" t="str">
        <f aca="false">IF(AND(BP$7=$I35,ISNUMBER($I35)),"◆","")</f>
        <v/>
      </c>
      <c r="BQ35" s="57" t="str">
        <f aca="false">IF(AND(BQ$7=$I35,ISNUMBER($I35)),"◆","")</f>
        <v/>
      </c>
      <c r="BR35" s="57" t="str">
        <f aca="false">IF(AND(BR$7=$I35,ISNUMBER($I35)),"◆","")</f>
        <v/>
      </c>
      <c r="BS35" s="57" t="str">
        <f aca="false">IF(AND(BS$7=$I35,ISNUMBER($I35)),"◆","")</f>
        <v/>
      </c>
      <c r="BT35" s="57" t="str">
        <f aca="false">IF(AND(BT$7=$I35,ISNUMBER($I35)),"◆","")</f>
        <v/>
      </c>
      <c r="BU35" s="57" t="str">
        <f aca="false">IF(AND(BU$7=$I35,ISNUMBER($I35)),"◆","")</f>
        <v/>
      </c>
      <c r="BV35" s="57" t="str">
        <f aca="false">IF(AND(BV$7=$I35,ISNUMBER($I35)),"◆","")</f>
        <v/>
      </c>
      <c r="BW35" s="57" t="str">
        <f aca="false">IF(AND(BW$7=$I35,ISNUMBER($I35)),"◆","")</f>
        <v/>
      </c>
      <c r="BX35" s="57" t="str">
        <f aca="false">IF(AND(BX$7=$I35,ISNUMBER($I35)),"◆","")</f>
        <v/>
      </c>
      <c r="BY35" s="57" t="str">
        <f aca="false">IF(AND(BY$7=$I35,ISNUMBER($I35)),"◆","")</f>
        <v/>
      </c>
      <c r="BZ35" s="57" t="str">
        <f aca="false">IF(AND(BZ$7=$I35,ISNUMBER($I35)),"◆","")</f>
        <v/>
      </c>
      <c r="CA35" s="57" t="str">
        <f aca="false">IF(AND(CA$7=$I35,ISNUMBER($I35)),"◆","")</f>
        <v/>
      </c>
      <c r="CB35" s="57" t="str">
        <f aca="false">IF(AND(CB$7=$I35,ISNUMBER($I35)),"◆","")</f>
        <v/>
      </c>
      <c r="CC35" s="57" t="str">
        <f aca="false">IF(AND(CC$7=$I35,ISNUMBER($I35)),"◆","")</f>
        <v/>
      </c>
      <c r="CD35" s="57" t="str">
        <f aca="false">IF(AND(CD$7=$I35,ISNUMBER($I35)),"◆","")</f>
        <v/>
      </c>
      <c r="CE35" s="57" t="str">
        <f aca="false">IF(AND(CE$7=$I35,ISNUMBER($I35)),"◆","")</f>
        <v/>
      </c>
      <c r="CF35" s="57" t="str">
        <f aca="false">IF(AND(CF$7=$I35,ISNUMBER($I35)),"◆","")</f>
        <v/>
      </c>
      <c r="CG35" s="57" t="str">
        <f aca="false">IF(AND(CG$7=$I35,ISNUMBER($I35)),"◆","")</f>
        <v/>
      </c>
      <c r="CH35" s="57" t="str">
        <f aca="false">IF(AND(CH$7=$I35,ISNUMBER($I35)),"◆","")</f>
        <v/>
      </c>
      <c r="CI35" s="57" t="str">
        <f aca="false">IF(AND(CI$7=$I35,ISNUMBER($I35)),"◆","")</f>
        <v/>
      </c>
      <c r="CJ35" s="57" t="str">
        <f aca="false">IF(AND(CJ$7=$I35,ISNUMBER($I35)),"◆","")</f>
        <v/>
      </c>
      <c r="CK35" s="57" t="str">
        <f aca="false">IF(AND(CK$7=$I35,ISNUMBER($I35)),"◆","")</f>
        <v/>
      </c>
      <c r="CL35" s="57" t="str">
        <f aca="false">IF(AND(CL$7=$I35,ISNUMBER($I35)),"◆","")</f>
        <v/>
      </c>
      <c r="CM35" s="57" t="str">
        <f aca="false">IF(AND(CM$7=$I35,ISNUMBER($I35)),"◆","")</f>
        <v/>
      </c>
      <c r="CN35" s="57" t="str">
        <f aca="false">IF(AND(CN$7=$I35,ISNUMBER($I35)),"◆","")</f>
        <v/>
      </c>
      <c r="CO35" s="57" t="str">
        <f aca="false">IF(AND(CO$7=$I35,ISNUMBER($I35)),"◆","")</f>
        <v/>
      </c>
      <c r="CP35" s="57" t="str">
        <f aca="false">IF(AND(CP$7=$I35,ISNUMBER($I35)),"◆","")</f>
        <v/>
      </c>
      <c r="CQ35" s="57" t="str">
        <f aca="false">IF(AND(CQ$7=$I35,ISNUMBER($I35)),"◆","")</f>
        <v/>
      </c>
      <c r="CR35" s="57" t="str">
        <f aca="false">IF(AND(CR$7=$I35,ISNUMBER($I35)),"◆","")</f>
        <v/>
      </c>
      <c r="CS35" s="57" t="str">
        <f aca="false">IF(AND(CS$7=$I35,ISNUMBER($I35)),"◆","")</f>
        <v/>
      </c>
      <c r="CT35" s="57" t="str">
        <f aca="false">IF(AND(CT$7=$I35,ISNUMBER($I35)),"◆","")</f>
        <v/>
      </c>
      <c r="CU35" s="57" t="str">
        <f aca="false">IF(AND(CU$7=$I35,ISNUMBER($I35)),"◆","")</f>
        <v/>
      </c>
      <c r="CV35" s="57" t="str">
        <f aca="false">IF(AND(CV$7=$I35,ISNUMBER($I35)),"◆","")</f>
        <v/>
      </c>
      <c r="CW35" s="57" t="str">
        <f aca="false">IF(AND(CW$7=$I35,ISNUMBER($I35)),"◆","")</f>
        <v/>
      </c>
      <c r="CX35" s="57" t="str">
        <f aca="false">IF(AND(CX$7=$I35,ISNUMBER($I35)),"◆","")</f>
        <v/>
      </c>
      <c r="CY35" s="57" t="str">
        <f aca="false">IF(AND(CY$7=$I35,ISNUMBER($I35)),"◆","")</f>
        <v/>
      </c>
      <c r="CZ35" s="57" t="str">
        <f aca="false">IF(AND(CZ$7=$I35,ISNUMBER($I35)),"◆","")</f>
        <v/>
      </c>
      <c r="DA35" s="57" t="str">
        <f aca="false">IF(AND(DA$7=$I35,ISNUMBER($I35)),"◆","")</f>
        <v/>
      </c>
      <c r="DB35" s="57" t="str">
        <f aca="false">IF(AND(DB$7=$I35,ISNUMBER($I35)),"◆","")</f>
        <v/>
      </c>
      <c r="DC35" s="57" t="str">
        <f aca="false">IF(AND(DC$7=$I35,ISNUMBER($I35)),"◆","")</f>
        <v/>
      </c>
      <c r="DD35" s="57" t="str">
        <f aca="false">IF(AND(DD$7=$I35,ISNUMBER($I35)),"◆","")</f>
        <v/>
      </c>
      <c r="DE35" s="57" t="str">
        <f aca="false">IF(AND(DE$7=$I35,ISNUMBER($I35)),"◆","")</f>
        <v/>
      </c>
      <c r="DF35" s="57" t="str">
        <f aca="false">IF(AND(DF$7=$I35,ISNUMBER($I35)),"◆","")</f>
        <v/>
      </c>
      <c r="DG35" s="57" t="str">
        <f aca="false">IF(AND(DG$7=$I35,ISNUMBER($I35)),"◆","")</f>
        <v/>
      </c>
      <c r="DH35" s="57" t="str">
        <f aca="false">IF(AND(DH$7=$I35,ISNUMBER($I35)),"◆","")</f>
        <v/>
      </c>
      <c r="DI35" s="57" t="str">
        <f aca="false">IF(AND(DI$7=$I35,ISNUMBER($I35)),"◆","")</f>
        <v/>
      </c>
      <c r="DJ35" s="57" t="str">
        <f aca="false">IF(AND(DJ$7=$I35,ISNUMBER($I35)),"◆","")</f>
        <v/>
      </c>
      <c r="DK35" s="57" t="str">
        <f aca="false">IF(AND(DK$7=$I35,ISNUMBER($I35)),"◆","")</f>
        <v/>
      </c>
      <c r="DL35" s="57" t="str">
        <f aca="false">IF(AND(DL$7=$I35,ISNUMBER($I35)),"◆","")</f>
        <v/>
      </c>
      <c r="DM35" s="57" t="str">
        <f aca="false">IF(AND(DM$7=$I35,ISNUMBER($I35)),"◆","")</f>
        <v/>
      </c>
      <c r="DN35" s="57" t="str">
        <f aca="false">IF(AND(DN$7=$I35,ISNUMBER($I35)),"◆","")</f>
        <v/>
      </c>
      <c r="DO35" s="57" t="str">
        <f aca="false">IF(AND(DO$7=$I35,ISNUMBER($I35)),"◆","")</f>
        <v/>
      </c>
      <c r="DP35" s="57" t="str">
        <f aca="false">IF(AND(DP$7=$I35,ISNUMBER($I35)),"◆","")</f>
        <v/>
      </c>
      <c r="DQ35" s="57" t="str">
        <f aca="false">IF(AND(DQ$7=$I35,ISNUMBER($I35)),"◆","")</f>
        <v/>
      </c>
      <c r="DR35" s="57" t="str">
        <f aca="false">IF(AND(DR$7=$I35,ISNUMBER($I35)),"◆","")</f>
        <v/>
      </c>
      <c r="DS35" s="57" t="str">
        <f aca="false">IF(AND(DS$7=$I35,ISNUMBER($I35)),"◆","")</f>
        <v/>
      </c>
      <c r="DT35" s="57" t="str">
        <f aca="false">IF(AND(DT$7=$I35,ISNUMBER($I35)),"◆","")</f>
        <v/>
      </c>
      <c r="DU35" s="57" t="str">
        <f aca="false">IF(AND(DU$7=$I35,ISNUMBER($I35)),"◆","")</f>
        <v/>
      </c>
      <c r="DV35" s="57" t="str">
        <f aca="false">IF(AND(DV$7=$I35,ISNUMBER($I35)),"◆","")</f>
        <v/>
      </c>
      <c r="DW35" s="57" t="str">
        <f aca="false">IF(AND(DW$7=$I35,ISNUMBER($I35)),"◆","")</f>
        <v/>
      </c>
      <c r="DX35" s="57" t="str">
        <f aca="false">IF(AND(DX$7=$I35,ISNUMBER($I35)),"◆","")</f>
        <v/>
      </c>
      <c r="DY35" s="57" t="str">
        <f aca="false">IF(AND(DY$7=$I35,ISNUMBER($I35)),"◆","")</f>
        <v/>
      </c>
      <c r="DZ35" s="57" t="str">
        <f aca="false">IF(AND(DZ$7=$I35,ISNUMBER($I35)),"◆","")</f>
        <v/>
      </c>
      <c r="EA35" s="57" t="str">
        <f aca="false">IF(AND(EA$7=$I35,ISNUMBER($I35)),"◆","")</f>
        <v/>
      </c>
      <c r="EB35" s="57" t="str">
        <f aca="false">IF(AND(EB$7=$I35,ISNUMBER($I35)),"◆","")</f>
        <v/>
      </c>
      <c r="EC35" s="57" t="str">
        <f aca="false">IF(AND(EC$7=$I35,ISNUMBER($I35)),"◆","")</f>
        <v/>
      </c>
      <c r="ED35" s="57" t="str">
        <f aca="false">IF(AND(ED$7=$I35,ISNUMBER($I35)),"◆","")</f>
        <v/>
      </c>
      <c r="EE35" s="57" t="str">
        <f aca="false">IF(AND(EE$7=$I35,ISNUMBER($I35)),"◆","")</f>
        <v/>
      </c>
      <c r="EF35" s="57" t="str">
        <f aca="false">IF(AND(EF$7=$I35,ISNUMBER($I35)),"◆","")</f>
        <v/>
      </c>
      <c r="EG35" s="57" t="str">
        <f aca="false">IF(AND(EG$7=$I35,ISNUMBER($I35)),"◆","")</f>
        <v/>
      </c>
      <c r="EH35" s="57" t="str">
        <f aca="false">IF(AND(EH$7=$I35,ISNUMBER($I35)),"◆","")</f>
        <v/>
      </c>
      <c r="EI35" s="57" t="str">
        <f aca="false">IF(AND(EI$7=$I35,ISNUMBER($I35)),"◆","")</f>
        <v/>
      </c>
      <c r="EJ35" s="57" t="str">
        <f aca="false">IF(AND(EJ$7=$I35,ISNUMBER($I35)),"◆","")</f>
        <v/>
      </c>
      <c r="EK35" s="57" t="str">
        <f aca="false">IF(AND(EK$7=$I35,ISNUMBER($I35)),"◆","")</f>
        <v/>
      </c>
      <c r="EL35" s="57" t="str">
        <f aca="false">IF(AND(EL$7=$I35,ISNUMBER($I35)),"◆","")</f>
        <v/>
      </c>
      <c r="EM35" s="57" t="str">
        <f aca="false">IF(AND(EM$7=$I35,ISNUMBER($I35)),"◆","")</f>
        <v/>
      </c>
    </row>
    <row r="36" customFormat="false" ht="25.5" hidden="false" customHeight="true" outlineLevel="0" collapsed="false">
      <c r="A36" s="50" t="str">
        <f aca="false">制作工程表!A29</f>
        <v>T21</v>
      </c>
      <c r="B36" s="51" t="str">
        <f aca="false">制作工程表!B29</f>
        <v>公開前確認</v>
      </c>
      <c r="C36" s="52" t="str">
        <f aca="false">制作工程表!C29</f>
        <v>公開前の最終確認・公開承認</v>
      </c>
      <c r="D36" s="53" t="str">
        <f aca="false">制作工程表!D29</f>
        <v>総務窓口</v>
      </c>
      <c r="E36" s="53" t="str">
        <f aca="false">制作工程表!E29</f>
        <v>代表・工場長</v>
      </c>
      <c r="F36" s="54" t="str">
        <f aca="false">IF(制作工程表!B29="取材撮影","撮影",IF(OR(制作工程表!D29="総務窓口",制作工程表!D29="工場長",制作工程表!D29="代表",制作工程表!D29="営業・生産管理"),"企業","制作"))</f>
        <v>企業</v>
      </c>
      <c r="G36" s="55" t="n">
        <f aca="false">制作工程表!G29</f>
        <v>46437</v>
      </c>
      <c r="H36" s="55" t="n">
        <f aca="false">制作工程表!H29</f>
        <v>46448</v>
      </c>
      <c r="I36" s="56" t="n">
        <f aca="false">制作工程表!I29</f>
        <v>46448</v>
      </c>
      <c r="J36" s="51" t="str">
        <f aca="false">制作工程表!K29</f>
        <v>未着手</v>
      </c>
      <c r="K36" s="57" t="str">
        <f aca="false">IF(AND(K$7=$I36,ISNUMBER($I36)),"◆","")</f>
        <v/>
      </c>
      <c r="L36" s="57" t="str">
        <f aca="false">IF(AND(L$7=$I36,ISNUMBER($I36)),"◆","")</f>
        <v/>
      </c>
      <c r="M36" s="57" t="str">
        <f aca="false">IF(AND(M$7=$I36,ISNUMBER($I36)),"◆","")</f>
        <v/>
      </c>
      <c r="N36" s="57" t="str">
        <f aca="false">IF(AND(N$7=$I36,ISNUMBER($I36)),"◆","")</f>
        <v/>
      </c>
      <c r="O36" s="57" t="str">
        <f aca="false">IF(AND(O$7=$I36,ISNUMBER($I36)),"◆","")</f>
        <v/>
      </c>
      <c r="P36" s="57" t="str">
        <f aca="false">IF(AND(P$7=$I36,ISNUMBER($I36)),"◆","")</f>
        <v/>
      </c>
      <c r="Q36" s="57" t="str">
        <f aca="false">IF(AND(Q$7=$I36,ISNUMBER($I36)),"◆","")</f>
        <v/>
      </c>
      <c r="R36" s="57" t="str">
        <f aca="false">IF(AND(R$7=$I36,ISNUMBER($I36)),"◆","")</f>
        <v/>
      </c>
      <c r="S36" s="57" t="str">
        <f aca="false">IF(AND(S$7=$I36,ISNUMBER($I36)),"◆","")</f>
        <v/>
      </c>
      <c r="T36" s="57" t="str">
        <f aca="false">IF(AND(T$7=$I36,ISNUMBER($I36)),"◆","")</f>
        <v/>
      </c>
      <c r="U36" s="57" t="str">
        <f aca="false">IF(AND(U$7=$I36,ISNUMBER($I36)),"◆","")</f>
        <v/>
      </c>
      <c r="V36" s="57" t="str">
        <f aca="false">IF(AND(V$7=$I36,ISNUMBER($I36)),"◆","")</f>
        <v/>
      </c>
      <c r="W36" s="57" t="str">
        <f aca="false">IF(AND(W$7=$I36,ISNUMBER($I36)),"◆","")</f>
        <v/>
      </c>
      <c r="X36" s="57" t="str">
        <f aca="false">IF(AND(X$7=$I36,ISNUMBER($I36)),"◆","")</f>
        <v/>
      </c>
      <c r="Y36" s="57" t="str">
        <f aca="false">IF(AND(Y$7=$I36,ISNUMBER($I36)),"◆","")</f>
        <v/>
      </c>
      <c r="Z36" s="57" t="str">
        <f aca="false">IF(AND(Z$7=$I36,ISNUMBER($I36)),"◆","")</f>
        <v/>
      </c>
      <c r="AA36" s="57" t="str">
        <f aca="false">IF(AND(AA$7=$I36,ISNUMBER($I36)),"◆","")</f>
        <v/>
      </c>
      <c r="AB36" s="57" t="str">
        <f aca="false">IF(AND(AB$7=$I36,ISNUMBER($I36)),"◆","")</f>
        <v/>
      </c>
      <c r="AC36" s="57" t="str">
        <f aca="false">IF(AND(AC$7=$I36,ISNUMBER($I36)),"◆","")</f>
        <v/>
      </c>
      <c r="AD36" s="57" t="str">
        <f aca="false">IF(AND(AD$7=$I36,ISNUMBER($I36)),"◆","")</f>
        <v/>
      </c>
      <c r="AE36" s="57" t="str">
        <f aca="false">IF(AND(AE$7=$I36,ISNUMBER($I36)),"◆","")</f>
        <v/>
      </c>
      <c r="AF36" s="57" t="str">
        <f aca="false">IF(AND(AF$7=$I36,ISNUMBER($I36)),"◆","")</f>
        <v/>
      </c>
      <c r="AG36" s="57" t="str">
        <f aca="false">IF(AND(AG$7=$I36,ISNUMBER($I36)),"◆","")</f>
        <v/>
      </c>
      <c r="AH36" s="57" t="str">
        <f aca="false">IF(AND(AH$7=$I36,ISNUMBER($I36)),"◆","")</f>
        <v/>
      </c>
      <c r="AI36" s="57" t="str">
        <f aca="false">IF(AND(AI$7=$I36,ISNUMBER($I36)),"◆","")</f>
        <v/>
      </c>
      <c r="AJ36" s="57" t="str">
        <f aca="false">IF(AND(AJ$7=$I36,ISNUMBER($I36)),"◆","")</f>
        <v/>
      </c>
      <c r="AK36" s="57" t="str">
        <f aca="false">IF(AND(AK$7=$I36,ISNUMBER($I36)),"◆","")</f>
        <v/>
      </c>
      <c r="AL36" s="57" t="str">
        <f aca="false">IF(AND(AL$7=$I36,ISNUMBER($I36)),"◆","")</f>
        <v/>
      </c>
      <c r="AM36" s="57" t="str">
        <f aca="false">IF(AND(AM$7=$I36,ISNUMBER($I36)),"◆","")</f>
        <v/>
      </c>
      <c r="AN36" s="57" t="str">
        <f aca="false">IF(AND(AN$7=$I36,ISNUMBER($I36)),"◆","")</f>
        <v/>
      </c>
      <c r="AO36" s="57" t="str">
        <f aca="false">IF(AND(AO$7=$I36,ISNUMBER($I36)),"◆","")</f>
        <v/>
      </c>
      <c r="AP36" s="57" t="str">
        <f aca="false">IF(AND(AP$7=$I36,ISNUMBER($I36)),"◆","")</f>
        <v/>
      </c>
      <c r="AQ36" s="57" t="str">
        <f aca="false">IF(AND(AQ$7=$I36,ISNUMBER($I36)),"◆","")</f>
        <v/>
      </c>
      <c r="AR36" s="57" t="str">
        <f aca="false">IF(AND(AR$7=$I36,ISNUMBER($I36)),"◆","")</f>
        <v/>
      </c>
      <c r="AS36" s="57" t="str">
        <f aca="false">IF(AND(AS$7=$I36,ISNUMBER($I36)),"◆","")</f>
        <v/>
      </c>
      <c r="AT36" s="57" t="str">
        <f aca="false">IF(AND(AT$7=$I36,ISNUMBER($I36)),"◆","")</f>
        <v/>
      </c>
      <c r="AU36" s="57" t="str">
        <f aca="false">IF(AND(AU$7=$I36,ISNUMBER($I36)),"◆","")</f>
        <v/>
      </c>
      <c r="AV36" s="57" t="str">
        <f aca="false">IF(AND(AV$7=$I36,ISNUMBER($I36)),"◆","")</f>
        <v/>
      </c>
      <c r="AW36" s="57" t="str">
        <f aca="false">IF(AND(AW$7=$I36,ISNUMBER($I36)),"◆","")</f>
        <v/>
      </c>
      <c r="AX36" s="57" t="str">
        <f aca="false">IF(AND(AX$7=$I36,ISNUMBER($I36)),"◆","")</f>
        <v/>
      </c>
      <c r="AY36" s="57" t="str">
        <f aca="false">IF(AND(AY$7=$I36,ISNUMBER($I36)),"◆","")</f>
        <v/>
      </c>
      <c r="AZ36" s="57" t="str">
        <f aca="false">IF(AND(AZ$7=$I36,ISNUMBER($I36)),"◆","")</f>
        <v/>
      </c>
      <c r="BA36" s="57" t="str">
        <f aca="false">IF(AND(BA$7=$I36,ISNUMBER($I36)),"◆","")</f>
        <v/>
      </c>
      <c r="BB36" s="57" t="str">
        <f aca="false">IF(AND(BB$7=$I36,ISNUMBER($I36)),"◆","")</f>
        <v/>
      </c>
      <c r="BC36" s="57" t="str">
        <f aca="false">IF(AND(BC$7=$I36,ISNUMBER($I36)),"◆","")</f>
        <v/>
      </c>
      <c r="BD36" s="57" t="str">
        <f aca="false">IF(AND(BD$7=$I36,ISNUMBER($I36)),"◆","")</f>
        <v/>
      </c>
      <c r="BE36" s="57" t="str">
        <f aca="false">IF(AND(BE$7=$I36,ISNUMBER($I36)),"◆","")</f>
        <v/>
      </c>
      <c r="BF36" s="57" t="str">
        <f aca="false">IF(AND(BF$7=$I36,ISNUMBER($I36)),"◆","")</f>
        <v/>
      </c>
      <c r="BG36" s="57" t="str">
        <f aca="false">IF(AND(BG$7=$I36,ISNUMBER($I36)),"◆","")</f>
        <v/>
      </c>
      <c r="BH36" s="57" t="str">
        <f aca="false">IF(AND(BH$7=$I36,ISNUMBER($I36)),"◆","")</f>
        <v/>
      </c>
      <c r="BI36" s="57" t="str">
        <f aca="false">IF(AND(BI$7=$I36,ISNUMBER($I36)),"◆","")</f>
        <v/>
      </c>
      <c r="BJ36" s="57" t="str">
        <f aca="false">IF(AND(BJ$7=$I36,ISNUMBER($I36)),"◆","")</f>
        <v/>
      </c>
      <c r="BK36" s="57" t="str">
        <f aca="false">IF(AND(BK$7=$I36,ISNUMBER($I36)),"◆","")</f>
        <v/>
      </c>
      <c r="BL36" s="57" t="str">
        <f aca="false">IF(AND(BL$7=$I36,ISNUMBER($I36)),"◆","")</f>
        <v/>
      </c>
      <c r="BM36" s="57" t="str">
        <f aca="false">IF(AND(BM$7=$I36,ISNUMBER($I36)),"◆","")</f>
        <v/>
      </c>
      <c r="BN36" s="57" t="str">
        <f aca="false">IF(AND(BN$7=$I36,ISNUMBER($I36)),"◆","")</f>
        <v/>
      </c>
      <c r="BO36" s="57" t="str">
        <f aca="false">IF(AND(BO$7=$I36,ISNUMBER($I36)),"◆","")</f>
        <v/>
      </c>
      <c r="BP36" s="57" t="str">
        <f aca="false">IF(AND(BP$7=$I36,ISNUMBER($I36)),"◆","")</f>
        <v/>
      </c>
      <c r="BQ36" s="57" t="str">
        <f aca="false">IF(AND(BQ$7=$I36,ISNUMBER($I36)),"◆","")</f>
        <v/>
      </c>
      <c r="BR36" s="57" t="str">
        <f aca="false">IF(AND(BR$7=$I36,ISNUMBER($I36)),"◆","")</f>
        <v/>
      </c>
      <c r="BS36" s="57" t="str">
        <f aca="false">IF(AND(BS$7=$I36,ISNUMBER($I36)),"◆","")</f>
        <v/>
      </c>
      <c r="BT36" s="57" t="str">
        <f aca="false">IF(AND(BT$7=$I36,ISNUMBER($I36)),"◆","")</f>
        <v/>
      </c>
      <c r="BU36" s="57" t="str">
        <f aca="false">IF(AND(BU$7=$I36,ISNUMBER($I36)),"◆","")</f>
        <v/>
      </c>
      <c r="BV36" s="57" t="str">
        <f aca="false">IF(AND(BV$7=$I36,ISNUMBER($I36)),"◆","")</f>
        <v/>
      </c>
      <c r="BW36" s="57" t="str">
        <f aca="false">IF(AND(BW$7=$I36,ISNUMBER($I36)),"◆","")</f>
        <v/>
      </c>
      <c r="BX36" s="57" t="str">
        <f aca="false">IF(AND(BX$7=$I36,ISNUMBER($I36)),"◆","")</f>
        <v/>
      </c>
      <c r="BY36" s="57" t="str">
        <f aca="false">IF(AND(BY$7=$I36,ISNUMBER($I36)),"◆","")</f>
        <v/>
      </c>
      <c r="BZ36" s="57" t="str">
        <f aca="false">IF(AND(BZ$7=$I36,ISNUMBER($I36)),"◆","")</f>
        <v/>
      </c>
      <c r="CA36" s="57" t="str">
        <f aca="false">IF(AND(CA$7=$I36,ISNUMBER($I36)),"◆","")</f>
        <v/>
      </c>
      <c r="CB36" s="57" t="str">
        <f aca="false">IF(AND(CB$7=$I36,ISNUMBER($I36)),"◆","")</f>
        <v/>
      </c>
      <c r="CC36" s="57" t="str">
        <f aca="false">IF(AND(CC$7=$I36,ISNUMBER($I36)),"◆","")</f>
        <v/>
      </c>
      <c r="CD36" s="57" t="str">
        <f aca="false">IF(AND(CD$7=$I36,ISNUMBER($I36)),"◆","")</f>
        <v/>
      </c>
      <c r="CE36" s="57" t="str">
        <f aca="false">IF(AND(CE$7=$I36,ISNUMBER($I36)),"◆","")</f>
        <v/>
      </c>
      <c r="CF36" s="57" t="str">
        <f aca="false">IF(AND(CF$7=$I36,ISNUMBER($I36)),"◆","")</f>
        <v/>
      </c>
      <c r="CG36" s="57" t="str">
        <f aca="false">IF(AND(CG$7=$I36,ISNUMBER($I36)),"◆","")</f>
        <v/>
      </c>
      <c r="CH36" s="57" t="str">
        <f aca="false">IF(AND(CH$7=$I36,ISNUMBER($I36)),"◆","")</f>
        <v/>
      </c>
      <c r="CI36" s="57" t="str">
        <f aca="false">IF(AND(CI$7=$I36,ISNUMBER($I36)),"◆","")</f>
        <v/>
      </c>
      <c r="CJ36" s="57" t="str">
        <f aca="false">IF(AND(CJ$7=$I36,ISNUMBER($I36)),"◆","")</f>
        <v/>
      </c>
      <c r="CK36" s="57" t="str">
        <f aca="false">IF(AND(CK$7=$I36,ISNUMBER($I36)),"◆","")</f>
        <v/>
      </c>
      <c r="CL36" s="57" t="str">
        <f aca="false">IF(AND(CL$7=$I36,ISNUMBER($I36)),"◆","")</f>
        <v/>
      </c>
      <c r="CM36" s="57" t="str">
        <f aca="false">IF(AND(CM$7=$I36,ISNUMBER($I36)),"◆","")</f>
        <v/>
      </c>
      <c r="CN36" s="57" t="str">
        <f aca="false">IF(AND(CN$7=$I36,ISNUMBER($I36)),"◆","")</f>
        <v/>
      </c>
      <c r="CO36" s="57" t="str">
        <f aca="false">IF(AND(CO$7=$I36,ISNUMBER($I36)),"◆","")</f>
        <v/>
      </c>
      <c r="CP36" s="57" t="str">
        <f aca="false">IF(AND(CP$7=$I36,ISNUMBER($I36)),"◆","")</f>
        <v/>
      </c>
      <c r="CQ36" s="57" t="str">
        <f aca="false">IF(AND(CQ$7=$I36,ISNUMBER($I36)),"◆","")</f>
        <v/>
      </c>
      <c r="CR36" s="57" t="str">
        <f aca="false">IF(AND(CR$7=$I36,ISNUMBER($I36)),"◆","")</f>
        <v/>
      </c>
      <c r="CS36" s="57" t="str">
        <f aca="false">IF(AND(CS$7=$I36,ISNUMBER($I36)),"◆","")</f>
        <v/>
      </c>
      <c r="CT36" s="57" t="str">
        <f aca="false">IF(AND(CT$7=$I36,ISNUMBER($I36)),"◆","")</f>
        <v/>
      </c>
      <c r="CU36" s="57" t="str">
        <f aca="false">IF(AND(CU$7=$I36,ISNUMBER($I36)),"◆","")</f>
        <v/>
      </c>
      <c r="CV36" s="57" t="str">
        <f aca="false">IF(AND(CV$7=$I36,ISNUMBER($I36)),"◆","")</f>
        <v/>
      </c>
      <c r="CW36" s="57" t="str">
        <f aca="false">IF(AND(CW$7=$I36,ISNUMBER($I36)),"◆","")</f>
        <v/>
      </c>
      <c r="CX36" s="57" t="str">
        <f aca="false">IF(AND(CX$7=$I36,ISNUMBER($I36)),"◆","")</f>
        <v/>
      </c>
      <c r="CY36" s="57" t="str">
        <f aca="false">IF(AND(CY$7=$I36,ISNUMBER($I36)),"◆","")</f>
        <v/>
      </c>
      <c r="CZ36" s="57" t="str">
        <f aca="false">IF(AND(CZ$7=$I36,ISNUMBER($I36)),"◆","")</f>
        <v/>
      </c>
      <c r="DA36" s="57" t="str">
        <f aca="false">IF(AND(DA$7=$I36,ISNUMBER($I36)),"◆","")</f>
        <v/>
      </c>
      <c r="DB36" s="57" t="str">
        <f aca="false">IF(AND(DB$7=$I36,ISNUMBER($I36)),"◆","")</f>
        <v/>
      </c>
      <c r="DC36" s="57" t="str">
        <f aca="false">IF(AND(DC$7=$I36,ISNUMBER($I36)),"◆","")</f>
        <v/>
      </c>
      <c r="DD36" s="57" t="str">
        <f aca="false">IF(AND(DD$7=$I36,ISNUMBER($I36)),"◆","")</f>
        <v/>
      </c>
      <c r="DE36" s="57" t="str">
        <f aca="false">IF(AND(DE$7=$I36,ISNUMBER($I36)),"◆","")</f>
        <v/>
      </c>
      <c r="DF36" s="57" t="str">
        <f aca="false">IF(AND(DF$7=$I36,ISNUMBER($I36)),"◆","")</f>
        <v/>
      </c>
      <c r="DG36" s="57" t="str">
        <f aca="false">IF(AND(DG$7=$I36,ISNUMBER($I36)),"◆","")</f>
        <v/>
      </c>
      <c r="DH36" s="57" t="str">
        <f aca="false">IF(AND(DH$7=$I36,ISNUMBER($I36)),"◆","")</f>
        <v/>
      </c>
      <c r="DI36" s="57" t="str">
        <f aca="false">IF(AND(DI$7=$I36,ISNUMBER($I36)),"◆","")</f>
        <v/>
      </c>
      <c r="DJ36" s="57" t="str">
        <f aca="false">IF(AND(DJ$7=$I36,ISNUMBER($I36)),"◆","")</f>
        <v/>
      </c>
      <c r="DK36" s="57" t="str">
        <f aca="false">IF(AND(DK$7=$I36,ISNUMBER($I36)),"◆","")</f>
        <v/>
      </c>
      <c r="DL36" s="57" t="str">
        <f aca="false">IF(AND(DL$7=$I36,ISNUMBER($I36)),"◆","")</f>
        <v/>
      </c>
      <c r="DM36" s="57" t="str">
        <f aca="false">IF(AND(DM$7=$I36,ISNUMBER($I36)),"◆","")</f>
        <v/>
      </c>
      <c r="DN36" s="57" t="str">
        <f aca="false">IF(AND(DN$7=$I36,ISNUMBER($I36)),"◆","")</f>
        <v/>
      </c>
      <c r="DO36" s="57" t="str">
        <f aca="false">IF(AND(DO$7=$I36,ISNUMBER($I36)),"◆","")</f>
        <v/>
      </c>
      <c r="DP36" s="57" t="str">
        <f aca="false">IF(AND(DP$7=$I36,ISNUMBER($I36)),"◆","")</f>
        <v/>
      </c>
      <c r="DQ36" s="57" t="str">
        <f aca="false">IF(AND(DQ$7=$I36,ISNUMBER($I36)),"◆","")</f>
        <v/>
      </c>
      <c r="DR36" s="57" t="str">
        <f aca="false">IF(AND(DR$7=$I36,ISNUMBER($I36)),"◆","")</f>
        <v/>
      </c>
      <c r="DS36" s="57" t="str">
        <f aca="false">IF(AND(DS$7=$I36,ISNUMBER($I36)),"◆","")</f>
        <v/>
      </c>
      <c r="DT36" s="57" t="str">
        <f aca="false">IF(AND(DT$7=$I36,ISNUMBER($I36)),"◆","")</f>
        <v/>
      </c>
      <c r="DU36" s="57" t="str">
        <f aca="false">IF(AND(DU$7=$I36,ISNUMBER($I36)),"◆","")</f>
        <v/>
      </c>
      <c r="DV36" s="57" t="str">
        <f aca="false">IF(AND(DV$7=$I36,ISNUMBER($I36)),"◆","")</f>
        <v/>
      </c>
      <c r="DW36" s="57" t="str">
        <f aca="false">IF(AND(DW$7=$I36,ISNUMBER($I36)),"◆","")</f>
        <v/>
      </c>
      <c r="DX36" s="57" t="str">
        <f aca="false">IF(AND(DX$7=$I36,ISNUMBER($I36)),"◆","")</f>
        <v/>
      </c>
      <c r="DY36" s="57" t="str">
        <f aca="false">IF(AND(DY$7=$I36,ISNUMBER($I36)),"◆","")</f>
        <v/>
      </c>
      <c r="DZ36" s="57" t="str">
        <f aca="false">IF(AND(DZ$7=$I36,ISNUMBER($I36)),"◆","")</f>
        <v/>
      </c>
      <c r="EA36" s="57" t="str">
        <f aca="false">IF(AND(EA$7=$I36,ISNUMBER($I36)),"◆","")</f>
        <v>◆</v>
      </c>
      <c r="EB36" s="57" t="str">
        <f aca="false">IF(AND(EB$7=$I36,ISNUMBER($I36)),"◆","")</f>
        <v/>
      </c>
      <c r="EC36" s="57" t="str">
        <f aca="false">IF(AND(EC$7=$I36,ISNUMBER($I36)),"◆","")</f>
        <v/>
      </c>
      <c r="ED36" s="57" t="str">
        <f aca="false">IF(AND(ED$7=$I36,ISNUMBER($I36)),"◆","")</f>
        <v/>
      </c>
      <c r="EE36" s="57" t="str">
        <f aca="false">IF(AND(EE$7=$I36,ISNUMBER($I36)),"◆","")</f>
        <v/>
      </c>
      <c r="EF36" s="57" t="str">
        <f aca="false">IF(AND(EF$7=$I36,ISNUMBER($I36)),"◆","")</f>
        <v/>
      </c>
      <c r="EG36" s="57" t="str">
        <f aca="false">IF(AND(EG$7=$I36,ISNUMBER($I36)),"◆","")</f>
        <v/>
      </c>
      <c r="EH36" s="57" t="str">
        <f aca="false">IF(AND(EH$7=$I36,ISNUMBER($I36)),"◆","")</f>
        <v/>
      </c>
      <c r="EI36" s="57" t="str">
        <f aca="false">IF(AND(EI$7=$I36,ISNUMBER($I36)),"◆","")</f>
        <v/>
      </c>
      <c r="EJ36" s="57" t="str">
        <f aca="false">IF(AND(EJ$7=$I36,ISNUMBER($I36)),"◆","")</f>
        <v/>
      </c>
      <c r="EK36" s="57" t="str">
        <f aca="false">IF(AND(EK$7=$I36,ISNUMBER($I36)),"◆","")</f>
        <v/>
      </c>
      <c r="EL36" s="57" t="str">
        <f aca="false">IF(AND(EL$7=$I36,ISNUMBER($I36)),"◆","")</f>
        <v/>
      </c>
      <c r="EM36" s="57" t="str">
        <f aca="false">IF(AND(EM$7=$I36,ISNUMBER($I36)),"◆","")</f>
        <v/>
      </c>
    </row>
    <row r="37" customFormat="false" ht="25.5" hidden="false" customHeight="true" outlineLevel="0" collapsed="false">
      <c r="A37" s="50" t="str">
        <f aca="false">制作工程表!A30</f>
        <v>T22</v>
      </c>
      <c r="B37" s="51" t="str">
        <f aca="false">制作工程表!B30</f>
        <v>修正</v>
      </c>
      <c r="C37" s="52" t="str">
        <f aca="false">制作工程表!C30</f>
        <v>最終修正・公開準備</v>
      </c>
      <c r="D37" s="53" t="str">
        <f aca="false">制作工程表!D30</f>
        <v>実装担当</v>
      </c>
      <c r="E37" s="53" t="str">
        <f aca="false">制作工程表!E30</f>
        <v>—</v>
      </c>
      <c r="F37" s="54" t="str">
        <f aca="false">IF(制作工程表!B30="取材撮影","撮影",IF(OR(制作工程表!D30="総務窓口",制作工程表!D30="工場長",制作工程表!D30="代表",制作工程表!D30="営業・生産管理"),"企業","制作"))</f>
        <v>制作</v>
      </c>
      <c r="G37" s="55" t="n">
        <f aca="false">制作工程表!G30</f>
        <v>46449</v>
      </c>
      <c r="H37" s="55" t="n">
        <f aca="false">制作工程表!H30</f>
        <v>46450</v>
      </c>
      <c r="I37" s="56" t="str">
        <f aca="false">制作工程表!I30</f>
        <v>—</v>
      </c>
      <c r="J37" s="51" t="str">
        <f aca="false">制作工程表!K30</f>
        <v>未着手</v>
      </c>
      <c r="K37" s="57" t="str">
        <f aca="false">IF(AND(K$7=$I37,ISNUMBER($I37)),"◆","")</f>
        <v/>
      </c>
      <c r="L37" s="57" t="str">
        <f aca="false">IF(AND(L$7=$I37,ISNUMBER($I37)),"◆","")</f>
        <v/>
      </c>
      <c r="M37" s="57" t="str">
        <f aca="false">IF(AND(M$7=$I37,ISNUMBER($I37)),"◆","")</f>
        <v/>
      </c>
      <c r="N37" s="57" t="str">
        <f aca="false">IF(AND(N$7=$I37,ISNUMBER($I37)),"◆","")</f>
        <v/>
      </c>
      <c r="O37" s="57" t="str">
        <f aca="false">IF(AND(O$7=$I37,ISNUMBER($I37)),"◆","")</f>
        <v/>
      </c>
      <c r="P37" s="57" t="str">
        <f aca="false">IF(AND(P$7=$I37,ISNUMBER($I37)),"◆","")</f>
        <v/>
      </c>
      <c r="Q37" s="57" t="str">
        <f aca="false">IF(AND(Q$7=$I37,ISNUMBER($I37)),"◆","")</f>
        <v/>
      </c>
      <c r="R37" s="57" t="str">
        <f aca="false">IF(AND(R$7=$I37,ISNUMBER($I37)),"◆","")</f>
        <v/>
      </c>
      <c r="S37" s="57" t="str">
        <f aca="false">IF(AND(S$7=$I37,ISNUMBER($I37)),"◆","")</f>
        <v/>
      </c>
      <c r="T37" s="57" t="str">
        <f aca="false">IF(AND(T$7=$I37,ISNUMBER($I37)),"◆","")</f>
        <v/>
      </c>
      <c r="U37" s="57" t="str">
        <f aca="false">IF(AND(U$7=$I37,ISNUMBER($I37)),"◆","")</f>
        <v/>
      </c>
      <c r="V37" s="57" t="str">
        <f aca="false">IF(AND(V$7=$I37,ISNUMBER($I37)),"◆","")</f>
        <v/>
      </c>
      <c r="W37" s="57" t="str">
        <f aca="false">IF(AND(W$7=$I37,ISNUMBER($I37)),"◆","")</f>
        <v/>
      </c>
      <c r="X37" s="57" t="str">
        <f aca="false">IF(AND(X$7=$I37,ISNUMBER($I37)),"◆","")</f>
        <v/>
      </c>
      <c r="Y37" s="57" t="str">
        <f aca="false">IF(AND(Y$7=$I37,ISNUMBER($I37)),"◆","")</f>
        <v/>
      </c>
      <c r="Z37" s="57" t="str">
        <f aca="false">IF(AND(Z$7=$I37,ISNUMBER($I37)),"◆","")</f>
        <v/>
      </c>
      <c r="AA37" s="57" t="str">
        <f aca="false">IF(AND(AA$7=$I37,ISNUMBER($I37)),"◆","")</f>
        <v/>
      </c>
      <c r="AB37" s="57" t="str">
        <f aca="false">IF(AND(AB$7=$I37,ISNUMBER($I37)),"◆","")</f>
        <v/>
      </c>
      <c r="AC37" s="57" t="str">
        <f aca="false">IF(AND(AC$7=$I37,ISNUMBER($I37)),"◆","")</f>
        <v/>
      </c>
      <c r="AD37" s="57" t="str">
        <f aca="false">IF(AND(AD$7=$I37,ISNUMBER($I37)),"◆","")</f>
        <v/>
      </c>
      <c r="AE37" s="57" t="str">
        <f aca="false">IF(AND(AE$7=$I37,ISNUMBER($I37)),"◆","")</f>
        <v/>
      </c>
      <c r="AF37" s="57" t="str">
        <f aca="false">IF(AND(AF$7=$I37,ISNUMBER($I37)),"◆","")</f>
        <v/>
      </c>
      <c r="AG37" s="57" t="str">
        <f aca="false">IF(AND(AG$7=$I37,ISNUMBER($I37)),"◆","")</f>
        <v/>
      </c>
      <c r="AH37" s="57" t="str">
        <f aca="false">IF(AND(AH$7=$I37,ISNUMBER($I37)),"◆","")</f>
        <v/>
      </c>
      <c r="AI37" s="57" t="str">
        <f aca="false">IF(AND(AI$7=$I37,ISNUMBER($I37)),"◆","")</f>
        <v/>
      </c>
      <c r="AJ37" s="57" t="str">
        <f aca="false">IF(AND(AJ$7=$I37,ISNUMBER($I37)),"◆","")</f>
        <v/>
      </c>
      <c r="AK37" s="57" t="str">
        <f aca="false">IF(AND(AK$7=$I37,ISNUMBER($I37)),"◆","")</f>
        <v/>
      </c>
      <c r="AL37" s="57" t="str">
        <f aca="false">IF(AND(AL$7=$I37,ISNUMBER($I37)),"◆","")</f>
        <v/>
      </c>
      <c r="AM37" s="57" t="str">
        <f aca="false">IF(AND(AM$7=$I37,ISNUMBER($I37)),"◆","")</f>
        <v/>
      </c>
      <c r="AN37" s="57" t="str">
        <f aca="false">IF(AND(AN$7=$I37,ISNUMBER($I37)),"◆","")</f>
        <v/>
      </c>
      <c r="AO37" s="57" t="str">
        <f aca="false">IF(AND(AO$7=$I37,ISNUMBER($I37)),"◆","")</f>
        <v/>
      </c>
      <c r="AP37" s="57" t="str">
        <f aca="false">IF(AND(AP$7=$I37,ISNUMBER($I37)),"◆","")</f>
        <v/>
      </c>
      <c r="AQ37" s="57" t="str">
        <f aca="false">IF(AND(AQ$7=$I37,ISNUMBER($I37)),"◆","")</f>
        <v/>
      </c>
      <c r="AR37" s="57" t="str">
        <f aca="false">IF(AND(AR$7=$I37,ISNUMBER($I37)),"◆","")</f>
        <v/>
      </c>
      <c r="AS37" s="57" t="str">
        <f aca="false">IF(AND(AS$7=$I37,ISNUMBER($I37)),"◆","")</f>
        <v/>
      </c>
      <c r="AT37" s="57" t="str">
        <f aca="false">IF(AND(AT$7=$I37,ISNUMBER($I37)),"◆","")</f>
        <v/>
      </c>
      <c r="AU37" s="57" t="str">
        <f aca="false">IF(AND(AU$7=$I37,ISNUMBER($I37)),"◆","")</f>
        <v/>
      </c>
      <c r="AV37" s="57" t="str">
        <f aca="false">IF(AND(AV$7=$I37,ISNUMBER($I37)),"◆","")</f>
        <v/>
      </c>
      <c r="AW37" s="57" t="str">
        <f aca="false">IF(AND(AW$7=$I37,ISNUMBER($I37)),"◆","")</f>
        <v/>
      </c>
      <c r="AX37" s="57" t="str">
        <f aca="false">IF(AND(AX$7=$I37,ISNUMBER($I37)),"◆","")</f>
        <v/>
      </c>
      <c r="AY37" s="57" t="str">
        <f aca="false">IF(AND(AY$7=$I37,ISNUMBER($I37)),"◆","")</f>
        <v/>
      </c>
      <c r="AZ37" s="57" t="str">
        <f aca="false">IF(AND(AZ$7=$I37,ISNUMBER($I37)),"◆","")</f>
        <v/>
      </c>
      <c r="BA37" s="57" t="str">
        <f aca="false">IF(AND(BA$7=$I37,ISNUMBER($I37)),"◆","")</f>
        <v/>
      </c>
      <c r="BB37" s="57" t="str">
        <f aca="false">IF(AND(BB$7=$I37,ISNUMBER($I37)),"◆","")</f>
        <v/>
      </c>
      <c r="BC37" s="57" t="str">
        <f aca="false">IF(AND(BC$7=$I37,ISNUMBER($I37)),"◆","")</f>
        <v/>
      </c>
      <c r="BD37" s="57" t="str">
        <f aca="false">IF(AND(BD$7=$I37,ISNUMBER($I37)),"◆","")</f>
        <v/>
      </c>
      <c r="BE37" s="57" t="str">
        <f aca="false">IF(AND(BE$7=$I37,ISNUMBER($I37)),"◆","")</f>
        <v/>
      </c>
      <c r="BF37" s="57" t="str">
        <f aca="false">IF(AND(BF$7=$I37,ISNUMBER($I37)),"◆","")</f>
        <v/>
      </c>
      <c r="BG37" s="57" t="str">
        <f aca="false">IF(AND(BG$7=$I37,ISNUMBER($I37)),"◆","")</f>
        <v/>
      </c>
      <c r="BH37" s="57" t="str">
        <f aca="false">IF(AND(BH$7=$I37,ISNUMBER($I37)),"◆","")</f>
        <v/>
      </c>
      <c r="BI37" s="57" t="str">
        <f aca="false">IF(AND(BI$7=$I37,ISNUMBER($I37)),"◆","")</f>
        <v/>
      </c>
      <c r="BJ37" s="57" t="str">
        <f aca="false">IF(AND(BJ$7=$I37,ISNUMBER($I37)),"◆","")</f>
        <v/>
      </c>
      <c r="BK37" s="57" t="str">
        <f aca="false">IF(AND(BK$7=$I37,ISNUMBER($I37)),"◆","")</f>
        <v/>
      </c>
      <c r="BL37" s="57" t="str">
        <f aca="false">IF(AND(BL$7=$I37,ISNUMBER($I37)),"◆","")</f>
        <v/>
      </c>
      <c r="BM37" s="57" t="str">
        <f aca="false">IF(AND(BM$7=$I37,ISNUMBER($I37)),"◆","")</f>
        <v/>
      </c>
      <c r="BN37" s="57" t="str">
        <f aca="false">IF(AND(BN$7=$I37,ISNUMBER($I37)),"◆","")</f>
        <v/>
      </c>
      <c r="BO37" s="57" t="str">
        <f aca="false">IF(AND(BO$7=$I37,ISNUMBER($I37)),"◆","")</f>
        <v/>
      </c>
      <c r="BP37" s="57" t="str">
        <f aca="false">IF(AND(BP$7=$I37,ISNUMBER($I37)),"◆","")</f>
        <v/>
      </c>
      <c r="BQ37" s="57" t="str">
        <f aca="false">IF(AND(BQ$7=$I37,ISNUMBER($I37)),"◆","")</f>
        <v/>
      </c>
      <c r="BR37" s="57" t="str">
        <f aca="false">IF(AND(BR$7=$I37,ISNUMBER($I37)),"◆","")</f>
        <v/>
      </c>
      <c r="BS37" s="57" t="str">
        <f aca="false">IF(AND(BS$7=$I37,ISNUMBER($I37)),"◆","")</f>
        <v/>
      </c>
      <c r="BT37" s="57" t="str">
        <f aca="false">IF(AND(BT$7=$I37,ISNUMBER($I37)),"◆","")</f>
        <v/>
      </c>
      <c r="BU37" s="57" t="str">
        <f aca="false">IF(AND(BU$7=$I37,ISNUMBER($I37)),"◆","")</f>
        <v/>
      </c>
      <c r="BV37" s="57" t="str">
        <f aca="false">IF(AND(BV$7=$I37,ISNUMBER($I37)),"◆","")</f>
        <v/>
      </c>
      <c r="BW37" s="57" t="str">
        <f aca="false">IF(AND(BW$7=$I37,ISNUMBER($I37)),"◆","")</f>
        <v/>
      </c>
      <c r="BX37" s="57" t="str">
        <f aca="false">IF(AND(BX$7=$I37,ISNUMBER($I37)),"◆","")</f>
        <v/>
      </c>
      <c r="BY37" s="57" t="str">
        <f aca="false">IF(AND(BY$7=$I37,ISNUMBER($I37)),"◆","")</f>
        <v/>
      </c>
      <c r="BZ37" s="57" t="str">
        <f aca="false">IF(AND(BZ$7=$I37,ISNUMBER($I37)),"◆","")</f>
        <v/>
      </c>
      <c r="CA37" s="57" t="str">
        <f aca="false">IF(AND(CA$7=$I37,ISNUMBER($I37)),"◆","")</f>
        <v/>
      </c>
      <c r="CB37" s="57" t="str">
        <f aca="false">IF(AND(CB$7=$I37,ISNUMBER($I37)),"◆","")</f>
        <v/>
      </c>
      <c r="CC37" s="57" t="str">
        <f aca="false">IF(AND(CC$7=$I37,ISNUMBER($I37)),"◆","")</f>
        <v/>
      </c>
      <c r="CD37" s="57" t="str">
        <f aca="false">IF(AND(CD$7=$I37,ISNUMBER($I37)),"◆","")</f>
        <v/>
      </c>
      <c r="CE37" s="57" t="str">
        <f aca="false">IF(AND(CE$7=$I37,ISNUMBER($I37)),"◆","")</f>
        <v/>
      </c>
      <c r="CF37" s="57" t="str">
        <f aca="false">IF(AND(CF$7=$I37,ISNUMBER($I37)),"◆","")</f>
        <v/>
      </c>
      <c r="CG37" s="57" t="str">
        <f aca="false">IF(AND(CG$7=$I37,ISNUMBER($I37)),"◆","")</f>
        <v/>
      </c>
      <c r="CH37" s="57" t="str">
        <f aca="false">IF(AND(CH$7=$I37,ISNUMBER($I37)),"◆","")</f>
        <v/>
      </c>
      <c r="CI37" s="57" t="str">
        <f aca="false">IF(AND(CI$7=$I37,ISNUMBER($I37)),"◆","")</f>
        <v/>
      </c>
      <c r="CJ37" s="57" t="str">
        <f aca="false">IF(AND(CJ$7=$I37,ISNUMBER($I37)),"◆","")</f>
        <v/>
      </c>
      <c r="CK37" s="57" t="str">
        <f aca="false">IF(AND(CK$7=$I37,ISNUMBER($I37)),"◆","")</f>
        <v/>
      </c>
      <c r="CL37" s="57" t="str">
        <f aca="false">IF(AND(CL$7=$I37,ISNUMBER($I37)),"◆","")</f>
        <v/>
      </c>
      <c r="CM37" s="57" t="str">
        <f aca="false">IF(AND(CM$7=$I37,ISNUMBER($I37)),"◆","")</f>
        <v/>
      </c>
      <c r="CN37" s="57" t="str">
        <f aca="false">IF(AND(CN$7=$I37,ISNUMBER($I37)),"◆","")</f>
        <v/>
      </c>
      <c r="CO37" s="57" t="str">
        <f aca="false">IF(AND(CO$7=$I37,ISNUMBER($I37)),"◆","")</f>
        <v/>
      </c>
      <c r="CP37" s="57" t="str">
        <f aca="false">IF(AND(CP$7=$I37,ISNUMBER($I37)),"◆","")</f>
        <v/>
      </c>
      <c r="CQ37" s="57" t="str">
        <f aca="false">IF(AND(CQ$7=$I37,ISNUMBER($I37)),"◆","")</f>
        <v/>
      </c>
      <c r="CR37" s="57" t="str">
        <f aca="false">IF(AND(CR$7=$I37,ISNUMBER($I37)),"◆","")</f>
        <v/>
      </c>
      <c r="CS37" s="57" t="str">
        <f aca="false">IF(AND(CS$7=$I37,ISNUMBER($I37)),"◆","")</f>
        <v/>
      </c>
      <c r="CT37" s="57" t="str">
        <f aca="false">IF(AND(CT$7=$I37,ISNUMBER($I37)),"◆","")</f>
        <v/>
      </c>
      <c r="CU37" s="57" t="str">
        <f aca="false">IF(AND(CU$7=$I37,ISNUMBER($I37)),"◆","")</f>
        <v/>
      </c>
      <c r="CV37" s="57" t="str">
        <f aca="false">IF(AND(CV$7=$I37,ISNUMBER($I37)),"◆","")</f>
        <v/>
      </c>
      <c r="CW37" s="57" t="str">
        <f aca="false">IF(AND(CW$7=$I37,ISNUMBER($I37)),"◆","")</f>
        <v/>
      </c>
      <c r="CX37" s="57" t="str">
        <f aca="false">IF(AND(CX$7=$I37,ISNUMBER($I37)),"◆","")</f>
        <v/>
      </c>
      <c r="CY37" s="57" t="str">
        <f aca="false">IF(AND(CY$7=$I37,ISNUMBER($I37)),"◆","")</f>
        <v/>
      </c>
      <c r="CZ37" s="57" t="str">
        <f aca="false">IF(AND(CZ$7=$I37,ISNUMBER($I37)),"◆","")</f>
        <v/>
      </c>
      <c r="DA37" s="57" t="str">
        <f aca="false">IF(AND(DA$7=$I37,ISNUMBER($I37)),"◆","")</f>
        <v/>
      </c>
      <c r="DB37" s="57" t="str">
        <f aca="false">IF(AND(DB$7=$I37,ISNUMBER($I37)),"◆","")</f>
        <v/>
      </c>
      <c r="DC37" s="57" t="str">
        <f aca="false">IF(AND(DC$7=$I37,ISNUMBER($I37)),"◆","")</f>
        <v/>
      </c>
      <c r="DD37" s="57" t="str">
        <f aca="false">IF(AND(DD$7=$I37,ISNUMBER($I37)),"◆","")</f>
        <v/>
      </c>
      <c r="DE37" s="57" t="str">
        <f aca="false">IF(AND(DE$7=$I37,ISNUMBER($I37)),"◆","")</f>
        <v/>
      </c>
      <c r="DF37" s="57" t="str">
        <f aca="false">IF(AND(DF$7=$I37,ISNUMBER($I37)),"◆","")</f>
        <v/>
      </c>
      <c r="DG37" s="57" t="str">
        <f aca="false">IF(AND(DG$7=$I37,ISNUMBER($I37)),"◆","")</f>
        <v/>
      </c>
      <c r="DH37" s="57" t="str">
        <f aca="false">IF(AND(DH$7=$I37,ISNUMBER($I37)),"◆","")</f>
        <v/>
      </c>
      <c r="DI37" s="57" t="str">
        <f aca="false">IF(AND(DI$7=$I37,ISNUMBER($I37)),"◆","")</f>
        <v/>
      </c>
      <c r="DJ37" s="57" t="str">
        <f aca="false">IF(AND(DJ$7=$I37,ISNUMBER($I37)),"◆","")</f>
        <v/>
      </c>
      <c r="DK37" s="57" t="str">
        <f aca="false">IF(AND(DK$7=$I37,ISNUMBER($I37)),"◆","")</f>
        <v/>
      </c>
      <c r="DL37" s="57" t="str">
        <f aca="false">IF(AND(DL$7=$I37,ISNUMBER($I37)),"◆","")</f>
        <v/>
      </c>
      <c r="DM37" s="57" t="str">
        <f aca="false">IF(AND(DM$7=$I37,ISNUMBER($I37)),"◆","")</f>
        <v/>
      </c>
      <c r="DN37" s="57" t="str">
        <f aca="false">IF(AND(DN$7=$I37,ISNUMBER($I37)),"◆","")</f>
        <v/>
      </c>
      <c r="DO37" s="57" t="str">
        <f aca="false">IF(AND(DO$7=$I37,ISNUMBER($I37)),"◆","")</f>
        <v/>
      </c>
      <c r="DP37" s="57" t="str">
        <f aca="false">IF(AND(DP$7=$I37,ISNUMBER($I37)),"◆","")</f>
        <v/>
      </c>
      <c r="DQ37" s="57" t="str">
        <f aca="false">IF(AND(DQ$7=$I37,ISNUMBER($I37)),"◆","")</f>
        <v/>
      </c>
      <c r="DR37" s="57" t="str">
        <f aca="false">IF(AND(DR$7=$I37,ISNUMBER($I37)),"◆","")</f>
        <v/>
      </c>
      <c r="DS37" s="57" t="str">
        <f aca="false">IF(AND(DS$7=$I37,ISNUMBER($I37)),"◆","")</f>
        <v/>
      </c>
      <c r="DT37" s="57" t="str">
        <f aca="false">IF(AND(DT$7=$I37,ISNUMBER($I37)),"◆","")</f>
        <v/>
      </c>
      <c r="DU37" s="57" t="str">
        <f aca="false">IF(AND(DU$7=$I37,ISNUMBER($I37)),"◆","")</f>
        <v/>
      </c>
      <c r="DV37" s="57" t="str">
        <f aca="false">IF(AND(DV$7=$I37,ISNUMBER($I37)),"◆","")</f>
        <v/>
      </c>
      <c r="DW37" s="57" t="str">
        <f aca="false">IF(AND(DW$7=$I37,ISNUMBER($I37)),"◆","")</f>
        <v/>
      </c>
      <c r="DX37" s="57" t="str">
        <f aca="false">IF(AND(DX$7=$I37,ISNUMBER($I37)),"◆","")</f>
        <v/>
      </c>
      <c r="DY37" s="57" t="str">
        <f aca="false">IF(AND(DY$7=$I37,ISNUMBER($I37)),"◆","")</f>
        <v/>
      </c>
      <c r="DZ37" s="57" t="str">
        <f aca="false">IF(AND(DZ$7=$I37,ISNUMBER($I37)),"◆","")</f>
        <v/>
      </c>
      <c r="EA37" s="57" t="str">
        <f aca="false">IF(AND(EA$7=$I37,ISNUMBER($I37)),"◆","")</f>
        <v/>
      </c>
      <c r="EB37" s="57" t="str">
        <f aca="false">IF(AND(EB$7=$I37,ISNUMBER($I37)),"◆","")</f>
        <v/>
      </c>
      <c r="EC37" s="57" t="str">
        <f aca="false">IF(AND(EC$7=$I37,ISNUMBER($I37)),"◆","")</f>
        <v/>
      </c>
      <c r="ED37" s="57" t="str">
        <f aca="false">IF(AND(ED$7=$I37,ISNUMBER($I37)),"◆","")</f>
        <v/>
      </c>
      <c r="EE37" s="57" t="str">
        <f aca="false">IF(AND(EE$7=$I37,ISNUMBER($I37)),"◆","")</f>
        <v/>
      </c>
      <c r="EF37" s="57" t="str">
        <f aca="false">IF(AND(EF$7=$I37,ISNUMBER($I37)),"◆","")</f>
        <v/>
      </c>
      <c r="EG37" s="57" t="str">
        <f aca="false">IF(AND(EG$7=$I37,ISNUMBER($I37)),"◆","")</f>
        <v/>
      </c>
      <c r="EH37" s="57" t="str">
        <f aca="false">IF(AND(EH$7=$I37,ISNUMBER($I37)),"◆","")</f>
        <v/>
      </c>
      <c r="EI37" s="57" t="str">
        <f aca="false">IF(AND(EI$7=$I37,ISNUMBER($I37)),"◆","")</f>
        <v/>
      </c>
      <c r="EJ37" s="57" t="str">
        <f aca="false">IF(AND(EJ$7=$I37,ISNUMBER($I37)),"◆","")</f>
        <v/>
      </c>
      <c r="EK37" s="57" t="str">
        <f aca="false">IF(AND(EK$7=$I37,ISNUMBER($I37)),"◆","")</f>
        <v/>
      </c>
      <c r="EL37" s="57" t="str">
        <f aca="false">IF(AND(EL$7=$I37,ISNUMBER($I37)),"◆","")</f>
        <v/>
      </c>
      <c r="EM37" s="57" t="str">
        <f aca="false">IF(AND(EM$7=$I37,ISNUMBER($I37)),"◆","")</f>
        <v/>
      </c>
    </row>
    <row r="38" customFormat="false" ht="25.5" hidden="false" customHeight="true" outlineLevel="0" collapsed="false">
      <c r="A38" s="50" t="str">
        <f aca="false">制作工程表!A31</f>
        <v>T23</v>
      </c>
      <c r="B38" s="51" t="str">
        <f aca="false">制作工程表!B31</f>
        <v>公開</v>
      </c>
      <c r="C38" s="52" t="str">
        <f aca="false">制作工程表!C31</f>
        <v>公開・公開直後の確認</v>
      </c>
      <c r="D38" s="53" t="str">
        <f aca="false">制作工程表!D31</f>
        <v>実装担当</v>
      </c>
      <c r="E38" s="53" t="str">
        <f aca="false">制作工程表!E31</f>
        <v>総務窓口</v>
      </c>
      <c r="F38" s="54" t="str">
        <f aca="false">IF(制作工程表!B31="取材撮影","撮影",IF(OR(制作工程表!D31="総務窓口",制作工程表!D31="工場長",制作工程表!D31="代表",制作工程表!D31="営業・生産管理"),"企業","制作"))</f>
        <v>制作</v>
      </c>
      <c r="G38" s="55" t="n">
        <f aca="false">制作工程表!G31</f>
        <v>46451</v>
      </c>
      <c r="H38" s="55" t="n">
        <f aca="false">制作工程表!H31</f>
        <v>46451</v>
      </c>
      <c r="I38" s="56" t="str">
        <f aca="false">制作工程表!I31</f>
        <v>—</v>
      </c>
      <c r="J38" s="51" t="str">
        <f aca="false">制作工程表!K31</f>
        <v>未着手</v>
      </c>
      <c r="K38" s="57" t="str">
        <f aca="false">IF(AND(K$7=$I38,ISNUMBER($I38)),"◆","")</f>
        <v/>
      </c>
      <c r="L38" s="57" t="str">
        <f aca="false">IF(AND(L$7=$I38,ISNUMBER($I38)),"◆","")</f>
        <v/>
      </c>
      <c r="M38" s="57" t="str">
        <f aca="false">IF(AND(M$7=$I38,ISNUMBER($I38)),"◆","")</f>
        <v/>
      </c>
      <c r="N38" s="57" t="str">
        <f aca="false">IF(AND(N$7=$I38,ISNUMBER($I38)),"◆","")</f>
        <v/>
      </c>
      <c r="O38" s="57" t="str">
        <f aca="false">IF(AND(O$7=$I38,ISNUMBER($I38)),"◆","")</f>
        <v/>
      </c>
      <c r="P38" s="57" t="str">
        <f aca="false">IF(AND(P$7=$I38,ISNUMBER($I38)),"◆","")</f>
        <v/>
      </c>
      <c r="Q38" s="57" t="str">
        <f aca="false">IF(AND(Q$7=$I38,ISNUMBER($I38)),"◆","")</f>
        <v/>
      </c>
      <c r="R38" s="57" t="str">
        <f aca="false">IF(AND(R$7=$I38,ISNUMBER($I38)),"◆","")</f>
        <v/>
      </c>
      <c r="S38" s="57" t="str">
        <f aca="false">IF(AND(S$7=$I38,ISNUMBER($I38)),"◆","")</f>
        <v/>
      </c>
      <c r="T38" s="57" t="str">
        <f aca="false">IF(AND(T$7=$I38,ISNUMBER($I38)),"◆","")</f>
        <v/>
      </c>
      <c r="U38" s="57" t="str">
        <f aca="false">IF(AND(U$7=$I38,ISNUMBER($I38)),"◆","")</f>
        <v/>
      </c>
      <c r="V38" s="57" t="str">
        <f aca="false">IF(AND(V$7=$I38,ISNUMBER($I38)),"◆","")</f>
        <v/>
      </c>
      <c r="W38" s="57" t="str">
        <f aca="false">IF(AND(W$7=$I38,ISNUMBER($I38)),"◆","")</f>
        <v/>
      </c>
      <c r="X38" s="57" t="str">
        <f aca="false">IF(AND(X$7=$I38,ISNUMBER($I38)),"◆","")</f>
        <v/>
      </c>
      <c r="Y38" s="57" t="str">
        <f aca="false">IF(AND(Y$7=$I38,ISNUMBER($I38)),"◆","")</f>
        <v/>
      </c>
      <c r="Z38" s="57" t="str">
        <f aca="false">IF(AND(Z$7=$I38,ISNUMBER($I38)),"◆","")</f>
        <v/>
      </c>
      <c r="AA38" s="57" t="str">
        <f aca="false">IF(AND(AA$7=$I38,ISNUMBER($I38)),"◆","")</f>
        <v/>
      </c>
      <c r="AB38" s="57" t="str">
        <f aca="false">IF(AND(AB$7=$I38,ISNUMBER($I38)),"◆","")</f>
        <v/>
      </c>
      <c r="AC38" s="57" t="str">
        <f aca="false">IF(AND(AC$7=$I38,ISNUMBER($I38)),"◆","")</f>
        <v/>
      </c>
      <c r="AD38" s="57" t="str">
        <f aca="false">IF(AND(AD$7=$I38,ISNUMBER($I38)),"◆","")</f>
        <v/>
      </c>
      <c r="AE38" s="57" t="str">
        <f aca="false">IF(AND(AE$7=$I38,ISNUMBER($I38)),"◆","")</f>
        <v/>
      </c>
      <c r="AF38" s="57" t="str">
        <f aca="false">IF(AND(AF$7=$I38,ISNUMBER($I38)),"◆","")</f>
        <v/>
      </c>
      <c r="AG38" s="57" t="str">
        <f aca="false">IF(AND(AG$7=$I38,ISNUMBER($I38)),"◆","")</f>
        <v/>
      </c>
      <c r="AH38" s="57" t="str">
        <f aca="false">IF(AND(AH$7=$I38,ISNUMBER($I38)),"◆","")</f>
        <v/>
      </c>
      <c r="AI38" s="57" t="str">
        <f aca="false">IF(AND(AI$7=$I38,ISNUMBER($I38)),"◆","")</f>
        <v/>
      </c>
      <c r="AJ38" s="57" t="str">
        <f aca="false">IF(AND(AJ$7=$I38,ISNUMBER($I38)),"◆","")</f>
        <v/>
      </c>
      <c r="AK38" s="57" t="str">
        <f aca="false">IF(AND(AK$7=$I38,ISNUMBER($I38)),"◆","")</f>
        <v/>
      </c>
      <c r="AL38" s="57" t="str">
        <f aca="false">IF(AND(AL$7=$I38,ISNUMBER($I38)),"◆","")</f>
        <v/>
      </c>
      <c r="AM38" s="57" t="str">
        <f aca="false">IF(AND(AM$7=$I38,ISNUMBER($I38)),"◆","")</f>
        <v/>
      </c>
      <c r="AN38" s="57" t="str">
        <f aca="false">IF(AND(AN$7=$I38,ISNUMBER($I38)),"◆","")</f>
        <v/>
      </c>
      <c r="AO38" s="57" t="str">
        <f aca="false">IF(AND(AO$7=$I38,ISNUMBER($I38)),"◆","")</f>
        <v/>
      </c>
      <c r="AP38" s="57" t="str">
        <f aca="false">IF(AND(AP$7=$I38,ISNUMBER($I38)),"◆","")</f>
        <v/>
      </c>
      <c r="AQ38" s="57" t="str">
        <f aca="false">IF(AND(AQ$7=$I38,ISNUMBER($I38)),"◆","")</f>
        <v/>
      </c>
      <c r="AR38" s="57" t="str">
        <f aca="false">IF(AND(AR$7=$I38,ISNUMBER($I38)),"◆","")</f>
        <v/>
      </c>
      <c r="AS38" s="57" t="str">
        <f aca="false">IF(AND(AS$7=$I38,ISNUMBER($I38)),"◆","")</f>
        <v/>
      </c>
      <c r="AT38" s="57" t="str">
        <f aca="false">IF(AND(AT$7=$I38,ISNUMBER($I38)),"◆","")</f>
        <v/>
      </c>
      <c r="AU38" s="57" t="str">
        <f aca="false">IF(AND(AU$7=$I38,ISNUMBER($I38)),"◆","")</f>
        <v/>
      </c>
      <c r="AV38" s="57" t="str">
        <f aca="false">IF(AND(AV$7=$I38,ISNUMBER($I38)),"◆","")</f>
        <v/>
      </c>
      <c r="AW38" s="57" t="str">
        <f aca="false">IF(AND(AW$7=$I38,ISNUMBER($I38)),"◆","")</f>
        <v/>
      </c>
      <c r="AX38" s="57" t="str">
        <f aca="false">IF(AND(AX$7=$I38,ISNUMBER($I38)),"◆","")</f>
        <v/>
      </c>
      <c r="AY38" s="57" t="str">
        <f aca="false">IF(AND(AY$7=$I38,ISNUMBER($I38)),"◆","")</f>
        <v/>
      </c>
      <c r="AZ38" s="57" t="str">
        <f aca="false">IF(AND(AZ$7=$I38,ISNUMBER($I38)),"◆","")</f>
        <v/>
      </c>
      <c r="BA38" s="57" t="str">
        <f aca="false">IF(AND(BA$7=$I38,ISNUMBER($I38)),"◆","")</f>
        <v/>
      </c>
      <c r="BB38" s="57" t="str">
        <f aca="false">IF(AND(BB$7=$I38,ISNUMBER($I38)),"◆","")</f>
        <v/>
      </c>
      <c r="BC38" s="57" t="str">
        <f aca="false">IF(AND(BC$7=$I38,ISNUMBER($I38)),"◆","")</f>
        <v/>
      </c>
      <c r="BD38" s="57" t="str">
        <f aca="false">IF(AND(BD$7=$I38,ISNUMBER($I38)),"◆","")</f>
        <v/>
      </c>
      <c r="BE38" s="57" t="str">
        <f aca="false">IF(AND(BE$7=$I38,ISNUMBER($I38)),"◆","")</f>
        <v/>
      </c>
      <c r="BF38" s="57" t="str">
        <f aca="false">IF(AND(BF$7=$I38,ISNUMBER($I38)),"◆","")</f>
        <v/>
      </c>
      <c r="BG38" s="57" t="str">
        <f aca="false">IF(AND(BG$7=$I38,ISNUMBER($I38)),"◆","")</f>
        <v/>
      </c>
      <c r="BH38" s="57" t="str">
        <f aca="false">IF(AND(BH$7=$I38,ISNUMBER($I38)),"◆","")</f>
        <v/>
      </c>
      <c r="BI38" s="57" t="str">
        <f aca="false">IF(AND(BI$7=$I38,ISNUMBER($I38)),"◆","")</f>
        <v/>
      </c>
      <c r="BJ38" s="57" t="str">
        <f aca="false">IF(AND(BJ$7=$I38,ISNUMBER($I38)),"◆","")</f>
        <v/>
      </c>
      <c r="BK38" s="57" t="str">
        <f aca="false">IF(AND(BK$7=$I38,ISNUMBER($I38)),"◆","")</f>
        <v/>
      </c>
      <c r="BL38" s="57" t="str">
        <f aca="false">IF(AND(BL$7=$I38,ISNUMBER($I38)),"◆","")</f>
        <v/>
      </c>
      <c r="BM38" s="57" t="str">
        <f aca="false">IF(AND(BM$7=$I38,ISNUMBER($I38)),"◆","")</f>
        <v/>
      </c>
      <c r="BN38" s="57" t="str">
        <f aca="false">IF(AND(BN$7=$I38,ISNUMBER($I38)),"◆","")</f>
        <v/>
      </c>
      <c r="BO38" s="57" t="str">
        <f aca="false">IF(AND(BO$7=$I38,ISNUMBER($I38)),"◆","")</f>
        <v/>
      </c>
      <c r="BP38" s="57" t="str">
        <f aca="false">IF(AND(BP$7=$I38,ISNUMBER($I38)),"◆","")</f>
        <v/>
      </c>
      <c r="BQ38" s="57" t="str">
        <f aca="false">IF(AND(BQ$7=$I38,ISNUMBER($I38)),"◆","")</f>
        <v/>
      </c>
      <c r="BR38" s="57" t="str">
        <f aca="false">IF(AND(BR$7=$I38,ISNUMBER($I38)),"◆","")</f>
        <v/>
      </c>
      <c r="BS38" s="57" t="str">
        <f aca="false">IF(AND(BS$7=$I38,ISNUMBER($I38)),"◆","")</f>
        <v/>
      </c>
      <c r="BT38" s="57" t="str">
        <f aca="false">IF(AND(BT$7=$I38,ISNUMBER($I38)),"◆","")</f>
        <v/>
      </c>
      <c r="BU38" s="57" t="str">
        <f aca="false">IF(AND(BU$7=$I38,ISNUMBER($I38)),"◆","")</f>
        <v/>
      </c>
      <c r="BV38" s="57" t="str">
        <f aca="false">IF(AND(BV$7=$I38,ISNUMBER($I38)),"◆","")</f>
        <v/>
      </c>
      <c r="BW38" s="57" t="str">
        <f aca="false">IF(AND(BW$7=$I38,ISNUMBER($I38)),"◆","")</f>
        <v/>
      </c>
      <c r="BX38" s="57" t="str">
        <f aca="false">IF(AND(BX$7=$I38,ISNUMBER($I38)),"◆","")</f>
        <v/>
      </c>
      <c r="BY38" s="57" t="str">
        <f aca="false">IF(AND(BY$7=$I38,ISNUMBER($I38)),"◆","")</f>
        <v/>
      </c>
      <c r="BZ38" s="57" t="str">
        <f aca="false">IF(AND(BZ$7=$I38,ISNUMBER($I38)),"◆","")</f>
        <v/>
      </c>
      <c r="CA38" s="57" t="str">
        <f aca="false">IF(AND(CA$7=$I38,ISNUMBER($I38)),"◆","")</f>
        <v/>
      </c>
      <c r="CB38" s="57" t="str">
        <f aca="false">IF(AND(CB$7=$I38,ISNUMBER($I38)),"◆","")</f>
        <v/>
      </c>
      <c r="CC38" s="57" t="str">
        <f aca="false">IF(AND(CC$7=$I38,ISNUMBER($I38)),"◆","")</f>
        <v/>
      </c>
      <c r="CD38" s="57" t="str">
        <f aca="false">IF(AND(CD$7=$I38,ISNUMBER($I38)),"◆","")</f>
        <v/>
      </c>
      <c r="CE38" s="57" t="str">
        <f aca="false">IF(AND(CE$7=$I38,ISNUMBER($I38)),"◆","")</f>
        <v/>
      </c>
      <c r="CF38" s="57" t="str">
        <f aca="false">IF(AND(CF$7=$I38,ISNUMBER($I38)),"◆","")</f>
        <v/>
      </c>
      <c r="CG38" s="57" t="str">
        <f aca="false">IF(AND(CG$7=$I38,ISNUMBER($I38)),"◆","")</f>
        <v/>
      </c>
      <c r="CH38" s="57" t="str">
        <f aca="false">IF(AND(CH$7=$I38,ISNUMBER($I38)),"◆","")</f>
        <v/>
      </c>
      <c r="CI38" s="57" t="str">
        <f aca="false">IF(AND(CI$7=$I38,ISNUMBER($I38)),"◆","")</f>
        <v/>
      </c>
      <c r="CJ38" s="57" t="str">
        <f aca="false">IF(AND(CJ$7=$I38,ISNUMBER($I38)),"◆","")</f>
        <v/>
      </c>
      <c r="CK38" s="57" t="str">
        <f aca="false">IF(AND(CK$7=$I38,ISNUMBER($I38)),"◆","")</f>
        <v/>
      </c>
      <c r="CL38" s="57" t="str">
        <f aca="false">IF(AND(CL$7=$I38,ISNUMBER($I38)),"◆","")</f>
        <v/>
      </c>
      <c r="CM38" s="57" t="str">
        <f aca="false">IF(AND(CM$7=$I38,ISNUMBER($I38)),"◆","")</f>
        <v/>
      </c>
      <c r="CN38" s="57" t="str">
        <f aca="false">IF(AND(CN$7=$I38,ISNUMBER($I38)),"◆","")</f>
        <v/>
      </c>
      <c r="CO38" s="57" t="str">
        <f aca="false">IF(AND(CO$7=$I38,ISNUMBER($I38)),"◆","")</f>
        <v/>
      </c>
      <c r="CP38" s="57" t="str">
        <f aca="false">IF(AND(CP$7=$I38,ISNUMBER($I38)),"◆","")</f>
        <v/>
      </c>
      <c r="CQ38" s="57" t="str">
        <f aca="false">IF(AND(CQ$7=$I38,ISNUMBER($I38)),"◆","")</f>
        <v/>
      </c>
      <c r="CR38" s="57" t="str">
        <f aca="false">IF(AND(CR$7=$I38,ISNUMBER($I38)),"◆","")</f>
        <v/>
      </c>
      <c r="CS38" s="57" t="str">
        <f aca="false">IF(AND(CS$7=$I38,ISNUMBER($I38)),"◆","")</f>
        <v/>
      </c>
      <c r="CT38" s="57" t="str">
        <f aca="false">IF(AND(CT$7=$I38,ISNUMBER($I38)),"◆","")</f>
        <v/>
      </c>
      <c r="CU38" s="57" t="str">
        <f aca="false">IF(AND(CU$7=$I38,ISNUMBER($I38)),"◆","")</f>
        <v/>
      </c>
      <c r="CV38" s="57" t="str">
        <f aca="false">IF(AND(CV$7=$I38,ISNUMBER($I38)),"◆","")</f>
        <v/>
      </c>
      <c r="CW38" s="57" t="str">
        <f aca="false">IF(AND(CW$7=$I38,ISNUMBER($I38)),"◆","")</f>
        <v/>
      </c>
      <c r="CX38" s="57" t="str">
        <f aca="false">IF(AND(CX$7=$I38,ISNUMBER($I38)),"◆","")</f>
        <v/>
      </c>
      <c r="CY38" s="57" t="str">
        <f aca="false">IF(AND(CY$7=$I38,ISNUMBER($I38)),"◆","")</f>
        <v/>
      </c>
      <c r="CZ38" s="57" t="str">
        <f aca="false">IF(AND(CZ$7=$I38,ISNUMBER($I38)),"◆","")</f>
        <v/>
      </c>
      <c r="DA38" s="57" t="str">
        <f aca="false">IF(AND(DA$7=$I38,ISNUMBER($I38)),"◆","")</f>
        <v/>
      </c>
      <c r="DB38" s="57" t="str">
        <f aca="false">IF(AND(DB$7=$I38,ISNUMBER($I38)),"◆","")</f>
        <v/>
      </c>
      <c r="DC38" s="57" t="str">
        <f aca="false">IF(AND(DC$7=$I38,ISNUMBER($I38)),"◆","")</f>
        <v/>
      </c>
      <c r="DD38" s="57" t="str">
        <f aca="false">IF(AND(DD$7=$I38,ISNUMBER($I38)),"◆","")</f>
        <v/>
      </c>
      <c r="DE38" s="57" t="str">
        <f aca="false">IF(AND(DE$7=$I38,ISNUMBER($I38)),"◆","")</f>
        <v/>
      </c>
      <c r="DF38" s="57" t="str">
        <f aca="false">IF(AND(DF$7=$I38,ISNUMBER($I38)),"◆","")</f>
        <v/>
      </c>
      <c r="DG38" s="57" t="str">
        <f aca="false">IF(AND(DG$7=$I38,ISNUMBER($I38)),"◆","")</f>
        <v/>
      </c>
      <c r="DH38" s="57" t="str">
        <f aca="false">IF(AND(DH$7=$I38,ISNUMBER($I38)),"◆","")</f>
        <v/>
      </c>
      <c r="DI38" s="57" t="str">
        <f aca="false">IF(AND(DI$7=$I38,ISNUMBER($I38)),"◆","")</f>
        <v/>
      </c>
      <c r="DJ38" s="57" t="str">
        <f aca="false">IF(AND(DJ$7=$I38,ISNUMBER($I38)),"◆","")</f>
        <v/>
      </c>
      <c r="DK38" s="57" t="str">
        <f aca="false">IF(AND(DK$7=$I38,ISNUMBER($I38)),"◆","")</f>
        <v/>
      </c>
      <c r="DL38" s="57" t="str">
        <f aca="false">IF(AND(DL$7=$I38,ISNUMBER($I38)),"◆","")</f>
        <v/>
      </c>
      <c r="DM38" s="57" t="str">
        <f aca="false">IF(AND(DM$7=$I38,ISNUMBER($I38)),"◆","")</f>
        <v/>
      </c>
      <c r="DN38" s="57" t="str">
        <f aca="false">IF(AND(DN$7=$I38,ISNUMBER($I38)),"◆","")</f>
        <v/>
      </c>
      <c r="DO38" s="57" t="str">
        <f aca="false">IF(AND(DO$7=$I38,ISNUMBER($I38)),"◆","")</f>
        <v/>
      </c>
      <c r="DP38" s="57" t="str">
        <f aca="false">IF(AND(DP$7=$I38,ISNUMBER($I38)),"◆","")</f>
        <v/>
      </c>
      <c r="DQ38" s="57" t="str">
        <f aca="false">IF(AND(DQ$7=$I38,ISNUMBER($I38)),"◆","")</f>
        <v/>
      </c>
      <c r="DR38" s="57" t="str">
        <f aca="false">IF(AND(DR$7=$I38,ISNUMBER($I38)),"◆","")</f>
        <v/>
      </c>
      <c r="DS38" s="57" t="str">
        <f aca="false">IF(AND(DS$7=$I38,ISNUMBER($I38)),"◆","")</f>
        <v/>
      </c>
      <c r="DT38" s="57" t="str">
        <f aca="false">IF(AND(DT$7=$I38,ISNUMBER($I38)),"◆","")</f>
        <v/>
      </c>
      <c r="DU38" s="57" t="str">
        <f aca="false">IF(AND(DU$7=$I38,ISNUMBER($I38)),"◆","")</f>
        <v/>
      </c>
      <c r="DV38" s="57" t="str">
        <f aca="false">IF(AND(DV$7=$I38,ISNUMBER($I38)),"◆","")</f>
        <v/>
      </c>
      <c r="DW38" s="57" t="str">
        <f aca="false">IF(AND(DW$7=$I38,ISNUMBER($I38)),"◆","")</f>
        <v/>
      </c>
      <c r="DX38" s="57" t="str">
        <f aca="false">IF(AND(DX$7=$I38,ISNUMBER($I38)),"◆","")</f>
        <v/>
      </c>
      <c r="DY38" s="57" t="str">
        <f aca="false">IF(AND(DY$7=$I38,ISNUMBER($I38)),"◆","")</f>
        <v/>
      </c>
      <c r="DZ38" s="57" t="str">
        <f aca="false">IF(AND(DZ$7=$I38,ISNUMBER($I38)),"◆","")</f>
        <v/>
      </c>
      <c r="EA38" s="57" t="str">
        <f aca="false">IF(AND(EA$7=$I38,ISNUMBER($I38)),"◆","")</f>
        <v/>
      </c>
      <c r="EB38" s="57" t="str">
        <f aca="false">IF(AND(EB$7=$I38,ISNUMBER($I38)),"◆","")</f>
        <v/>
      </c>
      <c r="EC38" s="57" t="str">
        <f aca="false">IF(AND(EC$7=$I38,ISNUMBER($I38)),"◆","")</f>
        <v/>
      </c>
      <c r="ED38" s="57" t="str">
        <f aca="false">IF(AND(ED$7=$I38,ISNUMBER($I38)),"◆","")</f>
        <v/>
      </c>
      <c r="EE38" s="57" t="str">
        <f aca="false">IF(AND(EE$7=$I38,ISNUMBER($I38)),"◆","")</f>
        <v/>
      </c>
      <c r="EF38" s="57" t="str">
        <f aca="false">IF(AND(EF$7=$I38,ISNUMBER($I38)),"◆","")</f>
        <v/>
      </c>
      <c r="EG38" s="57" t="str">
        <f aca="false">IF(AND(EG$7=$I38,ISNUMBER($I38)),"◆","")</f>
        <v/>
      </c>
      <c r="EH38" s="57" t="str">
        <f aca="false">IF(AND(EH$7=$I38,ISNUMBER($I38)),"◆","")</f>
        <v/>
      </c>
      <c r="EI38" s="57" t="str">
        <f aca="false">IF(AND(EI$7=$I38,ISNUMBER($I38)),"◆","")</f>
        <v/>
      </c>
      <c r="EJ38" s="57" t="str">
        <f aca="false">IF(AND(EJ$7=$I38,ISNUMBER($I38)),"◆","")</f>
        <v/>
      </c>
      <c r="EK38" s="57" t="str">
        <f aca="false">IF(AND(EK$7=$I38,ISNUMBER($I38)),"◆","")</f>
        <v/>
      </c>
      <c r="EL38" s="57" t="str">
        <f aca="false">IF(AND(EL$7=$I38,ISNUMBER($I38)),"◆","")</f>
        <v/>
      </c>
      <c r="EM38" s="57" t="str">
        <f aca="false">IF(AND(EM$7=$I38,ISNUMBER($I38)),"◆","")</f>
        <v/>
      </c>
    </row>
    <row r="40" customFormat="false" ht="15" hidden="false" customHeight="true" outlineLevel="0" collapsed="false">
      <c r="A40" s="58" t="s">
        <v>80</v>
      </c>
    </row>
    <row r="41" customFormat="false" ht="15" hidden="false" customHeight="true" outlineLevel="0" collapsed="false">
      <c r="A41" s="59" t="s">
        <v>81</v>
      </c>
    </row>
    <row r="42" customFormat="false" ht="15" hidden="false" customHeight="true" outlineLevel="0" collapsed="false">
      <c r="A42" s="59" t="s">
        <v>82</v>
      </c>
    </row>
    <row r="43" customFormat="false" ht="15" hidden="false" customHeight="true" outlineLevel="0" collapsed="false">
      <c r="A43" s="59" t="s">
        <v>83</v>
      </c>
    </row>
    <row r="44" customFormat="false" ht="15" hidden="false" customHeight="true" outlineLevel="0" collapsed="false">
      <c r="A44" s="59" t="s">
        <v>84</v>
      </c>
    </row>
  </sheetData>
  <mergeCells count="40">
    <mergeCell ref="A4:B4"/>
    <mergeCell ref="C4:D4"/>
    <mergeCell ref="E4:F4"/>
    <mergeCell ref="G4:H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Q6"/>
    <mergeCell ref="R6:X6"/>
    <mergeCell ref="Y6:AE6"/>
    <mergeCell ref="AF6:AL6"/>
    <mergeCell ref="AM6:AS6"/>
    <mergeCell ref="AT6:AZ6"/>
    <mergeCell ref="BA6:BG6"/>
    <mergeCell ref="BH6:BN6"/>
    <mergeCell ref="BO6:BU6"/>
    <mergeCell ref="BV6:CB6"/>
    <mergeCell ref="CC6:CI6"/>
    <mergeCell ref="CJ6:CP6"/>
    <mergeCell ref="CQ6:CW6"/>
    <mergeCell ref="CX6:DD6"/>
    <mergeCell ref="DE6:DK6"/>
    <mergeCell ref="DL6:DR6"/>
    <mergeCell ref="DS6:DY6"/>
    <mergeCell ref="DZ6:EF6"/>
    <mergeCell ref="EG6:EM6"/>
    <mergeCell ref="A9:J9"/>
    <mergeCell ref="A10:E10"/>
    <mergeCell ref="A16:E16"/>
    <mergeCell ref="A20:E20"/>
    <mergeCell ref="A24:E24"/>
    <mergeCell ref="A29:E29"/>
    <mergeCell ref="A33:E33"/>
  </mergeCells>
  <conditionalFormatting sqref="K10:EM38">
    <cfRule type="expression" priority="2" aboveAverage="0" equalAverage="0" bottom="0" percent="0" rank="0" text="" dxfId="0">
      <formula>AND(K$7=TODAY(),NOT(AND(K$7&gt;=$G10,K$7&lt;=$H10)))</formula>
    </cfRule>
    <cfRule type="expression" priority="3" aboveAverage="0" equalAverage="0" bottom="0" percent="0" rank="0" text="" dxfId="1">
      <formula>AND($F10="G",AND(K$7&gt;=$G10,K$7&lt;=$H10))</formula>
    </cfRule>
    <cfRule type="expression" priority="4" aboveAverage="0" equalAverage="0" bottom="0" percent="0" rank="0" text="" dxfId="2">
      <formula>AND($F10="撮影",AND(K$7&gt;=$G10,K$7&lt;=$H10))</formula>
    </cfRule>
    <cfRule type="expression" priority="5" aboveAverage="0" equalAverage="0" bottom="0" percent="0" rank="0" text="" dxfId="3">
      <formula>AND($F10="企業",AND(K$7&gt;=$G10,K$7&lt;=$H10))</formula>
    </cfRule>
    <cfRule type="expression" priority="6" aboveAverage="0" equalAverage="0" bottom="0" percent="0" rank="0" text="" dxfId="4">
      <formula>AND($F10="制作",AND(K$7&gt;=$G10,K$7&lt;=$H10))</formula>
    </cfRule>
    <cfRule type="expression" priority="7" aboveAverage="0" equalAverage="0" bottom="0" percent="0" rank="0" text="" dxfId="5">
      <formula>AND($F10&lt;&gt;"G",ISNUMBER($I10),K$7&gt;$H10,K$7&lt;=$I10)</formula>
    </cfRule>
    <cfRule type="expression" priority="8" aboveAverage="0" equalAverage="0" bottom="0" percent="0" rank="0" text="" dxfId="6">
      <formula>OR(WEEKDAY(K$7,2)&gt;5,COUNTIF(制作工程表!$AG$9:$AG$40,K$7)&gt;0)</formula>
    </cfRule>
  </conditionalFormatting>
  <conditionalFormatting sqref="K7:EM8">
    <cfRule type="expression" priority="9" aboveAverage="0" equalAverage="0" bottom="0" percent="0" rank="0" text="" dxfId="7">
      <formula>K$7=TODAY()</formula>
    </cfRule>
    <cfRule type="expression" priority="10" aboveAverage="0" equalAverage="0" bottom="0" percent="0" rank="0" text="" dxfId="8">
      <formula>WEEKDAY(K$7,2)&gt;5</formula>
    </cfRule>
  </conditionalFormatting>
  <conditionalFormatting sqref="J10:J38">
    <cfRule type="cellIs" priority="11" operator="equal" aboveAverage="0" equalAverage="0" bottom="0" percent="0" rank="0" text="" dxfId="9">
      <formula>"未着手"</formula>
    </cfRule>
    <cfRule type="cellIs" priority="12" operator="equal" aboveAverage="0" equalAverage="0" bottom="0" percent="0" rank="0" text="" dxfId="10">
      <formula>"進行中"</formula>
    </cfRule>
    <cfRule type="cellIs" priority="13" operator="equal" aboveAverage="0" equalAverage="0" bottom="0" percent="0" rank="0" text="" dxfId="11">
      <formula>"確認待ち"</formula>
    </cfRule>
    <cfRule type="cellIs" priority="14" operator="equal" aboveAverage="0" equalAverage="0" bottom="0" percent="0" rank="0" text="" dxfId="12">
      <formula>"完了"</formula>
    </cfRule>
    <cfRule type="cellIs" priority="15" operator="equal" aboveAverage="0" equalAverage="0" bottom="0" percent="0" rank="0" text="" dxfId="13">
      <formula>"要調整"</formula>
    </cfRule>
  </conditionalFormatting>
  <conditionalFormatting sqref="F10:F38">
    <cfRule type="cellIs" priority="16" operator="equal" aboveAverage="0" equalAverage="0" bottom="0" percent="0" rank="0" text="" dxfId="14">
      <formula>"企業"</formula>
    </cfRule>
    <cfRule type="cellIs" priority="17" operator="equal" aboveAverage="0" equalAverage="0" bottom="0" percent="0" rank="0" text="" dxfId="15">
      <formula>"撮影"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AH3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9"/>
    <col collapsed="false" customWidth="true" hidden="false" outlineLevel="0" max="3" min="3" style="1" width="30"/>
    <col collapsed="false" customWidth="true" hidden="false" outlineLevel="0" max="5" min="4" style="1" width="19.38"/>
    <col collapsed="false" customWidth="true" hidden="false" outlineLevel="0" max="6" min="6" style="1" width="31.88"/>
    <col collapsed="false" customWidth="true" hidden="false" outlineLevel="0" max="7" min="7" style="1" width="12.5"/>
    <col collapsed="false" customWidth="true" hidden="false" outlineLevel="0" max="8" min="8" style="1" width="13"/>
    <col collapsed="false" customWidth="true" hidden="false" outlineLevel="0" max="9" min="9" style="1" width="12.5"/>
    <col collapsed="false" customWidth="true" hidden="false" outlineLevel="0" max="10" min="10" style="1" width="13.13"/>
    <col collapsed="false" customWidth="true" hidden="false" outlineLevel="0" max="11" min="11" style="1" width="11.25"/>
    <col collapsed="false" customWidth="true" hidden="false" outlineLevel="0" max="12" min="12" style="1" width="9.75"/>
    <col collapsed="false" customWidth="true" hidden="false" outlineLevel="0" max="24" min="13" style="1" width="8.5"/>
    <col collapsed="false" customWidth="true" hidden="false" outlineLevel="0" max="25" min="25" style="0" width="8.5"/>
    <col collapsed="false" customWidth="true" hidden="false" outlineLevel="0" max="27" min="26" style="1" width="8.5"/>
    <col collapsed="false" customWidth="true" hidden="false" outlineLevel="0" max="31" min="28" style="0" width="8.5"/>
    <col collapsed="false" customWidth="true" hidden="false" outlineLevel="0" max="32" min="32" style="0" width="3"/>
    <col collapsed="false" customWidth="true" hidden="false" outlineLevel="0" max="33" min="33" style="0" width="16"/>
    <col collapsed="false" customWidth="true" hidden="false" outlineLevel="0" max="34" min="34" style="0" width="22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customFormat="false" ht="36" hidden="false" customHeight="true" outlineLevel="0" collapsed="false">
      <c r="A2" s="29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</row>
    <row r="3" customFormat="false" ht="18" hidden="false" customHeight="true" outlineLevel="0" collapsed="false">
      <c r="A3" s="62" t="s">
        <v>86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customFormat="false" ht="25.5" hidden="false" customHeight="true" outlineLevel="0" collapsed="false">
      <c r="A4" s="64" t="s">
        <v>87</v>
      </c>
      <c r="B4" s="65" t="n">
        <v>46328</v>
      </c>
      <c r="C4" s="61"/>
      <c r="D4" s="64" t="s">
        <v>88</v>
      </c>
      <c r="E4" s="66" t="n">
        <f aca="false">G17</f>
        <v>46377</v>
      </c>
      <c r="F4" s="61"/>
      <c r="G4" s="64" t="s">
        <v>89</v>
      </c>
      <c r="H4" s="66" t="n">
        <f aca="false">G18</f>
        <v>46378</v>
      </c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customFormat="false" ht="24.75" hidden="false" customHeight="true" outlineLevel="0" collapsed="false">
      <c r="A5" s="67" t="s">
        <v>90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</row>
    <row r="6" customFormat="false" ht="24.75" hidden="false" customHeight="true" outlineLevel="0" collapsed="false">
      <c r="A6" s="67" t="s">
        <v>91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8" t="n">
        <f aca="false">$B$4+0</f>
        <v>46328</v>
      </c>
      <c r="N7" s="68" t="n">
        <f aca="false">$B$4+7</f>
        <v>46335</v>
      </c>
      <c r="O7" s="68" t="n">
        <f aca="false">$B$4+14</f>
        <v>46342</v>
      </c>
      <c r="P7" s="68" t="n">
        <f aca="false">$B$4+21</f>
        <v>46349</v>
      </c>
      <c r="Q7" s="68" t="n">
        <f aca="false">$B$4+28</f>
        <v>46356</v>
      </c>
      <c r="R7" s="68" t="n">
        <f aca="false">$B$4+35</f>
        <v>46363</v>
      </c>
      <c r="S7" s="68" t="n">
        <f aca="false">$B$4+42</f>
        <v>46370</v>
      </c>
      <c r="T7" s="68" t="n">
        <f aca="false">$B$4+49</f>
        <v>46377</v>
      </c>
      <c r="U7" s="68" t="n">
        <f aca="false">$B$4+56</f>
        <v>46384</v>
      </c>
      <c r="V7" s="68" t="n">
        <f aca="false">$B$4+63</f>
        <v>46391</v>
      </c>
      <c r="W7" s="68" t="n">
        <f aca="false">$B$4+70</f>
        <v>46398</v>
      </c>
      <c r="X7" s="68" t="n">
        <f aca="false">$B$4+77</f>
        <v>46405</v>
      </c>
      <c r="Y7" s="68" t="n">
        <f aca="false">$B$4+84</f>
        <v>46412</v>
      </c>
      <c r="Z7" s="68" t="n">
        <f aca="false">$B$4+91</f>
        <v>46419</v>
      </c>
      <c r="AA7" s="68" t="n">
        <f aca="false">$B$4+98</f>
        <v>46426</v>
      </c>
      <c r="AB7" s="68" t="n">
        <f aca="false">$B$4+105</f>
        <v>46433</v>
      </c>
      <c r="AC7" s="68" t="n">
        <f aca="false">$B$4+112</f>
        <v>46440</v>
      </c>
      <c r="AD7" s="68" t="n">
        <f aca="false">$B$4+119</f>
        <v>46447</v>
      </c>
      <c r="AE7" s="68" t="n">
        <f aca="false">$B$4+126</f>
        <v>46454</v>
      </c>
    </row>
    <row r="8" customFormat="false" ht="33.75" hidden="false" customHeight="true" outlineLevel="0" collapsed="false">
      <c r="A8" s="69" t="s">
        <v>65</v>
      </c>
      <c r="B8" s="10" t="s">
        <v>66</v>
      </c>
      <c r="C8" s="10" t="s">
        <v>67</v>
      </c>
      <c r="D8" s="10" t="s">
        <v>92</v>
      </c>
      <c r="E8" s="10" t="s">
        <v>93</v>
      </c>
      <c r="F8" s="10" t="s">
        <v>94</v>
      </c>
      <c r="G8" s="10" t="s">
        <v>95</v>
      </c>
      <c r="H8" s="10" t="s">
        <v>96</v>
      </c>
      <c r="I8" s="10" t="s">
        <v>72</v>
      </c>
      <c r="J8" s="10" t="s">
        <v>97</v>
      </c>
      <c r="K8" s="10" t="s">
        <v>98</v>
      </c>
      <c r="L8" s="10" t="s">
        <v>99</v>
      </c>
      <c r="M8" s="69" t="s">
        <v>100</v>
      </c>
      <c r="N8" s="69" t="s">
        <v>101</v>
      </c>
      <c r="O8" s="69" t="s">
        <v>102</v>
      </c>
      <c r="P8" s="69" t="s">
        <v>103</v>
      </c>
      <c r="Q8" s="69" t="s">
        <v>104</v>
      </c>
      <c r="R8" s="69" t="s">
        <v>105</v>
      </c>
      <c r="S8" s="69" t="s">
        <v>106</v>
      </c>
      <c r="T8" s="69" t="s">
        <v>107</v>
      </c>
      <c r="U8" s="69" t="s">
        <v>108</v>
      </c>
      <c r="V8" s="69" t="s">
        <v>109</v>
      </c>
      <c r="W8" s="69" t="s">
        <v>110</v>
      </c>
      <c r="X8" s="69" t="s">
        <v>111</v>
      </c>
      <c r="Y8" s="69" t="s">
        <v>112</v>
      </c>
      <c r="Z8" s="69" t="s">
        <v>113</v>
      </c>
      <c r="AA8" s="69" t="s">
        <v>114</v>
      </c>
      <c r="AB8" s="69" t="s">
        <v>115</v>
      </c>
      <c r="AC8" s="69" t="s">
        <v>116</v>
      </c>
      <c r="AD8" s="69" t="s">
        <v>117</v>
      </c>
      <c r="AE8" s="69" t="s">
        <v>118</v>
      </c>
      <c r="AG8" s="70" t="s">
        <v>119</v>
      </c>
      <c r="AH8" s="70"/>
    </row>
    <row r="9" customFormat="false" ht="39.75" hidden="false" customHeight="true" outlineLevel="0" collapsed="false">
      <c r="A9" s="71" t="s">
        <v>120</v>
      </c>
      <c r="B9" s="72" t="s">
        <v>121</v>
      </c>
      <c r="C9" s="73" t="s">
        <v>122</v>
      </c>
      <c r="D9" s="74" t="s">
        <v>123</v>
      </c>
      <c r="E9" s="74" t="s">
        <v>124</v>
      </c>
      <c r="F9" s="74" t="s">
        <v>125</v>
      </c>
      <c r="G9" s="75" t="n">
        <f aca="false">WORKDAY($B$4-1,1,$AG$9:$AG$40)</f>
        <v>46328</v>
      </c>
      <c r="H9" s="75" t="n">
        <f aca="false">WORKDAY($B$4-1,1,$AG$9:$AG$40)</f>
        <v>46328</v>
      </c>
      <c r="I9" s="75" t="s">
        <v>126</v>
      </c>
      <c r="J9" s="72" t="s">
        <v>127</v>
      </c>
      <c r="K9" s="72" t="s">
        <v>32</v>
      </c>
      <c r="L9" s="72" t="n">
        <f aca="false">NETWORKDAYS(G9,H9,$AG$9:$AG$40)</f>
        <v>1</v>
      </c>
      <c r="M9" s="76" t="str">
        <f aca="false">IF(AND($G9&lt;=M$7+6,$H9&gt;=M$7),"■","")</f>
        <v>■</v>
      </c>
      <c r="N9" s="76" t="str">
        <f aca="false">IF(AND($G9&lt;=N$7+6,$H9&gt;=N$7),"■","")</f>
        <v/>
      </c>
      <c r="O9" s="76" t="str">
        <f aca="false">IF(AND($G9&lt;=O$7+6,$H9&gt;=O$7),"■","")</f>
        <v/>
      </c>
      <c r="P9" s="76" t="str">
        <f aca="false">IF(AND($G9&lt;=P$7+6,$H9&gt;=P$7),"■","")</f>
        <v/>
      </c>
      <c r="Q9" s="76" t="str">
        <f aca="false">IF(AND($G9&lt;=Q$7+6,$H9&gt;=Q$7),"■","")</f>
        <v/>
      </c>
      <c r="R9" s="76" t="str">
        <f aca="false">IF(AND($G9&lt;=R$7+6,$H9&gt;=R$7),"■","")</f>
        <v/>
      </c>
      <c r="S9" s="76" t="str">
        <f aca="false">IF(AND($G9&lt;=S$7+6,$H9&gt;=S$7),"■","")</f>
        <v/>
      </c>
      <c r="T9" s="76" t="str">
        <f aca="false">IF(AND($G9&lt;=T$7+6,$H9&gt;=T$7),"■","")</f>
        <v/>
      </c>
      <c r="U9" s="76" t="str">
        <f aca="false">IF(AND($G9&lt;=U$7+6,$H9&gt;=U$7),"■","")</f>
        <v/>
      </c>
      <c r="V9" s="76" t="str">
        <f aca="false">IF(AND($G9&lt;=V$7+6,$H9&gt;=V$7),"■","")</f>
        <v/>
      </c>
      <c r="W9" s="76" t="str">
        <f aca="false">IF(AND($G9&lt;=W$7+6,$H9&gt;=W$7),"■","")</f>
        <v/>
      </c>
      <c r="X9" s="76" t="str">
        <f aca="false">IF(AND($G9&lt;=X$7+6,$H9&gt;=X$7),"■","")</f>
        <v/>
      </c>
      <c r="Y9" s="76" t="str">
        <f aca="false">IF(AND($G9&lt;=Y$7+6,$H9&gt;=Y$7),"■","")</f>
        <v/>
      </c>
      <c r="Z9" s="76" t="str">
        <f aca="false">IF(AND($G9&lt;=Z$7+6,$H9&gt;=Z$7),"■","")</f>
        <v/>
      </c>
      <c r="AA9" s="76" t="str">
        <f aca="false">IF(AND($G9&lt;=AA$7+6,$H9&gt;=AA$7),"■","")</f>
        <v/>
      </c>
      <c r="AB9" s="76" t="str">
        <f aca="false">IF(AND($G9&lt;=AB$7+6,$H9&gt;=AB$7),"■","")</f>
        <v/>
      </c>
      <c r="AC9" s="76" t="str">
        <f aca="false">IF(AND($G9&lt;=AC$7+6,$H9&gt;=AC$7),"■","")</f>
        <v/>
      </c>
      <c r="AD9" s="76" t="str">
        <f aca="false">IF(AND($G9&lt;=AD$7+6,$H9&gt;=AD$7),"■","")</f>
        <v/>
      </c>
      <c r="AE9" s="76" t="str">
        <f aca="false">IF(AND($G9&lt;=AE$7+6,$H9&gt;=AE$7),"■","")</f>
        <v/>
      </c>
      <c r="AG9" s="77" t="n">
        <v>46329</v>
      </c>
      <c r="AH9" s="78" t="s">
        <v>128</v>
      </c>
    </row>
    <row r="10" customFormat="false" ht="39.75" hidden="false" customHeight="true" outlineLevel="0" collapsed="false">
      <c r="A10" s="79" t="s">
        <v>129</v>
      </c>
      <c r="B10" s="80" t="s">
        <v>121</v>
      </c>
      <c r="C10" s="81" t="s">
        <v>130</v>
      </c>
      <c r="D10" s="82" t="s">
        <v>123</v>
      </c>
      <c r="E10" s="83" t="s">
        <v>126</v>
      </c>
      <c r="F10" s="83" t="s">
        <v>131</v>
      </c>
      <c r="G10" s="75" t="n">
        <f aca="false">WORKDAY($B$4-1,2,$AG$9:$AG$40)</f>
        <v>46330</v>
      </c>
      <c r="H10" s="75" t="n">
        <f aca="false">WORKDAY($B$4-1,7,$AG$9:$AG$40)</f>
        <v>46337</v>
      </c>
      <c r="I10" s="75" t="s">
        <v>126</v>
      </c>
      <c r="J10" s="84" t="s">
        <v>120</v>
      </c>
      <c r="K10" s="80" t="s">
        <v>32</v>
      </c>
      <c r="L10" s="80" t="n">
        <f aca="false">NETWORKDAYS(G10,H10,$AG$9:$AG$40)</f>
        <v>6</v>
      </c>
      <c r="M10" s="85" t="str">
        <f aca="false">IF(AND($G10&lt;=M$7+6,$H10&gt;=M$7),"■","")</f>
        <v>■</v>
      </c>
      <c r="N10" s="85" t="str">
        <f aca="false">IF(AND($G10&lt;=N$7+6,$H10&gt;=N$7),"■","")</f>
        <v>■</v>
      </c>
      <c r="O10" s="85" t="str">
        <f aca="false">IF(AND($G10&lt;=O$7+6,$H10&gt;=O$7),"■","")</f>
        <v/>
      </c>
      <c r="P10" s="85" t="str">
        <f aca="false">IF(AND($G10&lt;=P$7+6,$H10&gt;=P$7),"■","")</f>
        <v/>
      </c>
      <c r="Q10" s="85" t="str">
        <f aca="false">IF(AND($G10&lt;=Q$7+6,$H10&gt;=Q$7),"■","")</f>
        <v/>
      </c>
      <c r="R10" s="85" t="str">
        <f aca="false">IF(AND($G10&lt;=R$7+6,$H10&gt;=R$7),"■","")</f>
        <v/>
      </c>
      <c r="S10" s="85" t="str">
        <f aca="false">IF(AND($G10&lt;=S$7+6,$H10&gt;=S$7),"■","")</f>
        <v/>
      </c>
      <c r="T10" s="85" t="str">
        <f aca="false">IF(AND($G10&lt;=T$7+6,$H10&gt;=T$7),"■","")</f>
        <v/>
      </c>
      <c r="U10" s="85" t="str">
        <f aca="false">IF(AND($G10&lt;=U$7+6,$H10&gt;=U$7),"■","")</f>
        <v/>
      </c>
      <c r="V10" s="85" t="str">
        <f aca="false">IF(AND($G10&lt;=V$7+6,$H10&gt;=V$7),"■","")</f>
        <v/>
      </c>
      <c r="W10" s="85" t="str">
        <f aca="false">IF(AND($G10&lt;=W$7+6,$H10&gt;=W$7),"■","")</f>
        <v/>
      </c>
      <c r="X10" s="85" t="str">
        <f aca="false">IF(AND($G10&lt;=X$7+6,$H10&gt;=X$7),"■","")</f>
        <v/>
      </c>
      <c r="Y10" s="85" t="str">
        <f aca="false">IF(AND($G10&lt;=Y$7+6,$H10&gt;=Y$7),"■","")</f>
        <v/>
      </c>
      <c r="Z10" s="85" t="str">
        <f aca="false">IF(AND($G10&lt;=Z$7+6,$H10&gt;=Z$7),"■","")</f>
        <v/>
      </c>
      <c r="AA10" s="85" t="str">
        <f aca="false">IF(AND($G10&lt;=AA$7+6,$H10&gt;=AA$7),"■","")</f>
        <v/>
      </c>
      <c r="AB10" s="85" t="str">
        <f aca="false">IF(AND($G10&lt;=AB$7+6,$H10&gt;=AB$7),"■","")</f>
        <v/>
      </c>
      <c r="AC10" s="85" t="str">
        <f aca="false">IF(AND($G10&lt;=AC$7+6,$H10&gt;=AC$7),"■","")</f>
        <v/>
      </c>
      <c r="AD10" s="85" t="str">
        <f aca="false">IF(AND($G10&lt;=AD$7+6,$H10&gt;=AD$7),"■","")</f>
        <v/>
      </c>
      <c r="AE10" s="85" t="str">
        <f aca="false">IF(AND($G10&lt;=AE$7+6,$H10&gt;=AE$7),"■","")</f>
        <v/>
      </c>
      <c r="AG10" s="77" t="n">
        <v>46349</v>
      </c>
      <c r="AH10" s="78" t="s">
        <v>132</v>
      </c>
    </row>
    <row r="11" customFormat="false" ht="39.75" hidden="false" customHeight="true" outlineLevel="0" collapsed="false">
      <c r="A11" s="71" t="s">
        <v>133</v>
      </c>
      <c r="B11" s="72" t="s">
        <v>134</v>
      </c>
      <c r="C11" s="73" t="s">
        <v>135</v>
      </c>
      <c r="D11" s="74" t="s">
        <v>124</v>
      </c>
      <c r="E11" s="74" t="s">
        <v>136</v>
      </c>
      <c r="F11" s="74" t="s">
        <v>137</v>
      </c>
      <c r="G11" s="75" t="n">
        <f aca="false">WORKDAY($B$4-1,8,$AG$9:$AG$40)</f>
        <v>46338</v>
      </c>
      <c r="H11" s="75" t="n">
        <f aca="false">WORKDAY($B$4-1,14,$AG$9:$AG$40)</f>
        <v>46346</v>
      </c>
      <c r="I11" s="75" t="n">
        <f aca="false">WORKDAY($B$4-1,14,$AG$9:$AG$40)</f>
        <v>46346</v>
      </c>
      <c r="J11" s="72" t="s">
        <v>129</v>
      </c>
      <c r="K11" s="72" t="s">
        <v>32</v>
      </c>
      <c r="L11" s="72" t="n">
        <f aca="false">NETWORKDAYS(G11,H11,$AG$9:$AG$40)</f>
        <v>7</v>
      </c>
      <c r="M11" s="76" t="str">
        <f aca="false">IF(AND($G11&lt;=M$7+6,$H11&gt;=M$7),"■","")</f>
        <v/>
      </c>
      <c r="N11" s="76" t="str">
        <f aca="false">IF(AND($G11&lt;=N$7+6,$H11&gt;=N$7),"■","")</f>
        <v>■</v>
      </c>
      <c r="O11" s="76" t="str">
        <f aca="false">IF(AND($G11&lt;=O$7+6,$H11&gt;=O$7),"■","")</f>
        <v>■</v>
      </c>
      <c r="P11" s="76" t="str">
        <f aca="false">IF(AND($G11&lt;=P$7+6,$H11&gt;=P$7),"■","")</f>
        <v/>
      </c>
      <c r="Q11" s="76" t="str">
        <f aca="false">IF(AND($G11&lt;=Q$7+6,$H11&gt;=Q$7),"■","")</f>
        <v/>
      </c>
      <c r="R11" s="76" t="str">
        <f aca="false">IF(AND($G11&lt;=R$7+6,$H11&gt;=R$7),"■","")</f>
        <v/>
      </c>
      <c r="S11" s="76" t="str">
        <f aca="false">IF(AND($G11&lt;=S$7+6,$H11&gt;=S$7),"■","")</f>
        <v/>
      </c>
      <c r="T11" s="76" t="str">
        <f aca="false">IF(AND($G11&lt;=T$7+6,$H11&gt;=T$7),"■","")</f>
        <v/>
      </c>
      <c r="U11" s="76" t="str">
        <f aca="false">IF(AND($G11&lt;=U$7+6,$H11&gt;=U$7),"■","")</f>
        <v/>
      </c>
      <c r="V11" s="76" t="str">
        <f aca="false">IF(AND($G11&lt;=V$7+6,$H11&gt;=V$7),"■","")</f>
        <v/>
      </c>
      <c r="W11" s="76" t="str">
        <f aca="false">IF(AND($G11&lt;=W$7+6,$H11&gt;=W$7),"■","")</f>
        <v/>
      </c>
      <c r="X11" s="76" t="str">
        <f aca="false">IF(AND($G11&lt;=X$7+6,$H11&gt;=X$7),"■","")</f>
        <v/>
      </c>
      <c r="Y11" s="76" t="str">
        <f aca="false">IF(AND($G11&lt;=Y$7+6,$H11&gt;=Y$7),"■","")</f>
        <v/>
      </c>
      <c r="Z11" s="76" t="str">
        <f aca="false">IF(AND($G11&lt;=Z$7+6,$H11&gt;=Z$7),"■","")</f>
        <v/>
      </c>
      <c r="AA11" s="76" t="str">
        <f aca="false">IF(AND($G11&lt;=AA$7+6,$H11&gt;=AA$7),"■","")</f>
        <v/>
      </c>
      <c r="AB11" s="76" t="str">
        <f aca="false">IF(AND($G11&lt;=AB$7+6,$H11&gt;=AB$7),"■","")</f>
        <v/>
      </c>
      <c r="AC11" s="76" t="str">
        <f aca="false">IF(AND($G11&lt;=AC$7+6,$H11&gt;=AC$7),"■","")</f>
        <v/>
      </c>
      <c r="AD11" s="76" t="str">
        <f aca="false">IF(AND($G11&lt;=AD$7+6,$H11&gt;=AD$7),"■","")</f>
        <v/>
      </c>
      <c r="AE11" s="76" t="str">
        <f aca="false">IF(AND($G11&lt;=AE$7+6,$H11&gt;=AE$7),"■","")</f>
        <v/>
      </c>
      <c r="AG11" s="77" t="n">
        <v>46385</v>
      </c>
      <c r="AH11" s="78" t="s">
        <v>138</v>
      </c>
    </row>
    <row r="12" customFormat="false" ht="39.75" hidden="false" customHeight="true" outlineLevel="0" collapsed="false">
      <c r="A12" s="79" t="s">
        <v>139</v>
      </c>
      <c r="B12" s="80" t="s">
        <v>140</v>
      </c>
      <c r="C12" s="81" t="s">
        <v>141</v>
      </c>
      <c r="D12" s="82" t="s">
        <v>142</v>
      </c>
      <c r="E12" s="83" t="s">
        <v>126</v>
      </c>
      <c r="F12" s="86" t="s">
        <v>143</v>
      </c>
      <c r="G12" s="75" t="n">
        <f aca="false">WORKDAY($B$4-1,15,$AG$9:$AG$40)</f>
        <v>46350</v>
      </c>
      <c r="H12" s="75" t="n">
        <f aca="false">WORKDAY($B$4-1,19,$AG$9:$AG$40)</f>
        <v>46356</v>
      </c>
      <c r="I12" s="75" t="s">
        <v>126</v>
      </c>
      <c r="J12" s="84" t="s">
        <v>133</v>
      </c>
      <c r="K12" s="80" t="s">
        <v>32</v>
      </c>
      <c r="L12" s="80" t="n">
        <f aca="false">NETWORKDAYS(G12,H12,$AG$9:$AG$40)</f>
        <v>5</v>
      </c>
      <c r="M12" s="85" t="str">
        <f aca="false">IF(AND($G12&lt;=M$7+6,$H12&gt;=M$7),"■","")</f>
        <v/>
      </c>
      <c r="N12" s="85" t="str">
        <f aca="false">IF(AND($G12&lt;=N$7+6,$H12&gt;=N$7),"■","")</f>
        <v/>
      </c>
      <c r="O12" s="85" t="str">
        <f aca="false">IF(AND($G12&lt;=O$7+6,$H12&gt;=O$7),"■","")</f>
        <v/>
      </c>
      <c r="P12" s="85" t="str">
        <f aca="false">IF(AND($G12&lt;=P$7+6,$H12&gt;=P$7),"■","")</f>
        <v>■</v>
      </c>
      <c r="Q12" s="85" t="str">
        <f aca="false">IF(AND($G12&lt;=Q$7+6,$H12&gt;=Q$7),"■","")</f>
        <v>■</v>
      </c>
      <c r="R12" s="85" t="str">
        <f aca="false">IF(AND($G12&lt;=R$7+6,$H12&gt;=R$7),"■","")</f>
        <v/>
      </c>
      <c r="S12" s="85" t="str">
        <f aca="false">IF(AND($G12&lt;=S$7+6,$H12&gt;=S$7),"■","")</f>
        <v/>
      </c>
      <c r="T12" s="85" t="str">
        <f aca="false">IF(AND($G12&lt;=T$7+6,$H12&gt;=T$7),"■","")</f>
        <v/>
      </c>
      <c r="U12" s="85" t="str">
        <f aca="false">IF(AND($G12&lt;=U$7+6,$H12&gt;=U$7),"■","")</f>
        <v/>
      </c>
      <c r="V12" s="85" t="str">
        <f aca="false">IF(AND($G12&lt;=V$7+6,$H12&gt;=V$7),"■","")</f>
        <v/>
      </c>
      <c r="W12" s="85" t="str">
        <f aca="false">IF(AND($G12&lt;=W$7+6,$H12&gt;=W$7),"■","")</f>
        <v/>
      </c>
      <c r="X12" s="85" t="str">
        <f aca="false">IF(AND($G12&lt;=X$7+6,$H12&gt;=X$7),"■","")</f>
        <v/>
      </c>
      <c r="Y12" s="85" t="str">
        <f aca="false">IF(AND($G12&lt;=Y$7+6,$H12&gt;=Y$7),"■","")</f>
        <v/>
      </c>
      <c r="Z12" s="85" t="str">
        <f aca="false">IF(AND($G12&lt;=Z$7+6,$H12&gt;=Z$7),"■","")</f>
        <v/>
      </c>
      <c r="AA12" s="85" t="str">
        <f aca="false">IF(AND($G12&lt;=AA$7+6,$H12&gt;=AA$7),"■","")</f>
        <v/>
      </c>
      <c r="AB12" s="85" t="str">
        <f aca="false">IF(AND($G12&lt;=AB$7+6,$H12&gt;=AB$7),"■","")</f>
        <v/>
      </c>
      <c r="AC12" s="85" t="str">
        <f aca="false">IF(AND($G12&lt;=AC$7+6,$H12&gt;=AC$7),"■","")</f>
        <v/>
      </c>
      <c r="AD12" s="85" t="str">
        <f aca="false">IF(AND($G12&lt;=AD$7+6,$H12&gt;=AD$7),"■","")</f>
        <v/>
      </c>
      <c r="AE12" s="85" t="str">
        <f aca="false">IF(AND($G12&lt;=AE$7+6,$H12&gt;=AE$7),"■","")</f>
        <v/>
      </c>
      <c r="AG12" s="77" t="n">
        <v>46386</v>
      </c>
      <c r="AH12" s="78" t="s">
        <v>138</v>
      </c>
    </row>
    <row r="13" customFormat="false" ht="39.75" hidden="false" customHeight="true" outlineLevel="0" collapsed="false">
      <c r="A13" s="71" t="s">
        <v>144</v>
      </c>
      <c r="B13" s="72" t="s">
        <v>145</v>
      </c>
      <c r="C13" s="73" t="s">
        <v>146</v>
      </c>
      <c r="D13" s="74" t="s">
        <v>124</v>
      </c>
      <c r="E13" s="74" t="s">
        <v>147</v>
      </c>
      <c r="F13" s="74" t="s">
        <v>148</v>
      </c>
      <c r="G13" s="75" t="n">
        <f aca="false">WORKDAY($B$4-1,20,$AG$9:$AG$40)</f>
        <v>46357</v>
      </c>
      <c r="H13" s="75" t="n">
        <f aca="false">WORKDAY($B$4-1,26,$AG$9:$AG$40)</f>
        <v>46365</v>
      </c>
      <c r="I13" s="75" t="n">
        <f aca="false">WORKDAY($B$4-1,26,$AG$9:$AG$40)</f>
        <v>46365</v>
      </c>
      <c r="J13" s="72" t="s">
        <v>139</v>
      </c>
      <c r="K13" s="72" t="s">
        <v>32</v>
      </c>
      <c r="L13" s="72" t="n">
        <f aca="false">NETWORKDAYS(G13,H13,$AG$9:$AG$40)</f>
        <v>7</v>
      </c>
      <c r="M13" s="76" t="str">
        <f aca="false">IF(AND($G13&lt;=M$7+6,$H13&gt;=M$7),"■","")</f>
        <v/>
      </c>
      <c r="N13" s="76" t="str">
        <f aca="false">IF(AND($G13&lt;=N$7+6,$H13&gt;=N$7),"■","")</f>
        <v/>
      </c>
      <c r="O13" s="76" t="str">
        <f aca="false">IF(AND($G13&lt;=O$7+6,$H13&gt;=O$7),"■","")</f>
        <v/>
      </c>
      <c r="P13" s="76" t="str">
        <f aca="false">IF(AND($G13&lt;=P$7+6,$H13&gt;=P$7),"■","")</f>
        <v/>
      </c>
      <c r="Q13" s="76" t="str">
        <f aca="false">IF(AND($G13&lt;=Q$7+6,$H13&gt;=Q$7),"■","")</f>
        <v>■</v>
      </c>
      <c r="R13" s="76" t="str">
        <f aca="false">IF(AND($G13&lt;=R$7+6,$H13&gt;=R$7),"■","")</f>
        <v>■</v>
      </c>
      <c r="S13" s="76" t="str">
        <f aca="false">IF(AND($G13&lt;=S$7+6,$H13&gt;=S$7),"■","")</f>
        <v/>
      </c>
      <c r="T13" s="76" t="str">
        <f aca="false">IF(AND($G13&lt;=T$7+6,$H13&gt;=T$7),"■","")</f>
        <v/>
      </c>
      <c r="U13" s="76" t="str">
        <f aca="false">IF(AND($G13&lt;=U$7+6,$H13&gt;=U$7),"■","")</f>
        <v/>
      </c>
      <c r="V13" s="76" t="str">
        <f aca="false">IF(AND($G13&lt;=V$7+6,$H13&gt;=V$7),"■","")</f>
        <v/>
      </c>
      <c r="W13" s="76" t="str">
        <f aca="false">IF(AND($G13&lt;=W$7+6,$H13&gt;=W$7),"■","")</f>
        <v/>
      </c>
      <c r="X13" s="76" t="str">
        <f aca="false">IF(AND($G13&lt;=X$7+6,$H13&gt;=X$7),"■","")</f>
        <v/>
      </c>
      <c r="Y13" s="76" t="str">
        <f aca="false">IF(AND($G13&lt;=Y$7+6,$H13&gt;=Y$7),"■","")</f>
        <v/>
      </c>
      <c r="Z13" s="76" t="str">
        <f aca="false">IF(AND($G13&lt;=Z$7+6,$H13&gt;=Z$7),"■","")</f>
        <v/>
      </c>
      <c r="AA13" s="76" t="str">
        <f aca="false">IF(AND($G13&lt;=AA$7+6,$H13&gt;=AA$7),"■","")</f>
        <v/>
      </c>
      <c r="AB13" s="76" t="str">
        <f aca="false">IF(AND($G13&lt;=AB$7+6,$H13&gt;=AB$7),"■","")</f>
        <v/>
      </c>
      <c r="AC13" s="76" t="str">
        <f aca="false">IF(AND($G13&lt;=AC$7+6,$H13&gt;=AC$7),"■","")</f>
        <v/>
      </c>
      <c r="AD13" s="76" t="str">
        <f aca="false">IF(AND($G13&lt;=AD$7+6,$H13&gt;=AD$7),"■","")</f>
        <v/>
      </c>
      <c r="AE13" s="76" t="str">
        <f aca="false">IF(AND($G13&lt;=AE$7+6,$H13&gt;=AE$7),"■","")</f>
        <v/>
      </c>
      <c r="AG13" s="77" t="n">
        <v>46387</v>
      </c>
      <c r="AH13" s="78" t="s">
        <v>138</v>
      </c>
    </row>
    <row r="14" customFormat="false" ht="39.75" hidden="false" customHeight="true" outlineLevel="0" collapsed="false">
      <c r="A14" s="79" t="s">
        <v>149</v>
      </c>
      <c r="B14" s="80" t="s">
        <v>150</v>
      </c>
      <c r="C14" s="81" t="s">
        <v>151</v>
      </c>
      <c r="D14" s="82" t="s">
        <v>152</v>
      </c>
      <c r="E14" s="83" t="s">
        <v>126</v>
      </c>
      <c r="F14" s="83" t="s">
        <v>153</v>
      </c>
      <c r="G14" s="75" t="n">
        <f aca="false">WORKDAY($B$4-1,15,$AG$9:$AG$40)</f>
        <v>46350</v>
      </c>
      <c r="H14" s="75" t="n">
        <f aca="false">WORKDAY($B$4-1,19,$AG$9:$AG$40)</f>
        <v>46356</v>
      </c>
      <c r="I14" s="75" t="s">
        <v>126</v>
      </c>
      <c r="J14" s="84" t="s">
        <v>133</v>
      </c>
      <c r="K14" s="80" t="s">
        <v>32</v>
      </c>
      <c r="L14" s="80" t="n">
        <f aca="false">NETWORKDAYS(G14,H14,$AG$9:$AG$40)</f>
        <v>5</v>
      </c>
      <c r="M14" s="85" t="str">
        <f aca="false">IF(AND($G14&lt;=M$7+6,$H14&gt;=M$7),"■","")</f>
        <v/>
      </c>
      <c r="N14" s="85" t="str">
        <f aca="false">IF(AND($G14&lt;=N$7+6,$H14&gt;=N$7),"■","")</f>
        <v/>
      </c>
      <c r="O14" s="85" t="str">
        <f aca="false">IF(AND($G14&lt;=O$7+6,$H14&gt;=O$7),"■","")</f>
        <v/>
      </c>
      <c r="P14" s="85" t="str">
        <f aca="false">IF(AND($G14&lt;=P$7+6,$H14&gt;=P$7),"■","")</f>
        <v>■</v>
      </c>
      <c r="Q14" s="85" t="str">
        <f aca="false">IF(AND($G14&lt;=Q$7+6,$H14&gt;=Q$7),"■","")</f>
        <v>■</v>
      </c>
      <c r="R14" s="85" t="str">
        <f aca="false">IF(AND($G14&lt;=R$7+6,$H14&gt;=R$7),"■","")</f>
        <v/>
      </c>
      <c r="S14" s="85" t="str">
        <f aca="false">IF(AND($G14&lt;=S$7+6,$H14&gt;=S$7),"■","")</f>
        <v/>
      </c>
      <c r="T14" s="85" t="str">
        <f aca="false">IF(AND($G14&lt;=T$7+6,$H14&gt;=T$7),"■","")</f>
        <v/>
      </c>
      <c r="U14" s="85" t="str">
        <f aca="false">IF(AND($G14&lt;=U$7+6,$H14&gt;=U$7),"■","")</f>
        <v/>
      </c>
      <c r="V14" s="85" t="str">
        <f aca="false">IF(AND($G14&lt;=V$7+6,$H14&gt;=V$7),"■","")</f>
        <v/>
      </c>
      <c r="W14" s="85" t="str">
        <f aca="false">IF(AND($G14&lt;=W$7+6,$H14&gt;=W$7),"■","")</f>
        <v/>
      </c>
      <c r="X14" s="85" t="str">
        <f aca="false">IF(AND($G14&lt;=X$7+6,$H14&gt;=X$7),"■","")</f>
        <v/>
      </c>
      <c r="Y14" s="85" t="str">
        <f aca="false">IF(AND($G14&lt;=Y$7+6,$H14&gt;=Y$7),"■","")</f>
        <v/>
      </c>
      <c r="Z14" s="85" t="str">
        <f aca="false">IF(AND($G14&lt;=Z$7+6,$H14&gt;=Z$7),"■","")</f>
        <v/>
      </c>
      <c r="AA14" s="85" t="str">
        <f aca="false">IF(AND($G14&lt;=AA$7+6,$H14&gt;=AA$7),"■","")</f>
        <v/>
      </c>
      <c r="AB14" s="85" t="str">
        <f aca="false">IF(AND($G14&lt;=AB$7+6,$H14&gt;=AB$7),"■","")</f>
        <v/>
      </c>
      <c r="AC14" s="85" t="str">
        <f aca="false">IF(AND($G14&lt;=AC$7+6,$H14&gt;=AC$7),"■","")</f>
        <v/>
      </c>
      <c r="AD14" s="85" t="str">
        <f aca="false">IF(AND($G14&lt;=AD$7+6,$H14&gt;=AD$7),"■","")</f>
        <v/>
      </c>
      <c r="AE14" s="85" t="str">
        <f aca="false">IF(AND($G14&lt;=AE$7+6,$H14&gt;=AE$7),"■","")</f>
        <v/>
      </c>
      <c r="AG14" s="77" t="n">
        <v>46388</v>
      </c>
      <c r="AH14" s="78" t="s">
        <v>154</v>
      </c>
    </row>
    <row r="15" customFormat="false" ht="39.75" hidden="false" customHeight="true" outlineLevel="0" collapsed="false">
      <c r="A15" s="71" t="s">
        <v>155</v>
      </c>
      <c r="B15" s="72" t="s">
        <v>150</v>
      </c>
      <c r="C15" s="73" t="s">
        <v>156</v>
      </c>
      <c r="D15" s="74" t="s">
        <v>124</v>
      </c>
      <c r="E15" s="74" t="s">
        <v>157</v>
      </c>
      <c r="F15" s="74" t="s">
        <v>158</v>
      </c>
      <c r="G15" s="75" t="n">
        <f aca="false">WORKDAY($B$4-1,15,$AG$9:$AG$40)</f>
        <v>46350</v>
      </c>
      <c r="H15" s="75" t="n">
        <f aca="false">WORKDAY($B$4-1,24,$AG$9:$AG$40)</f>
        <v>46363</v>
      </c>
      <c r="I15" s="75" t="n">
        <f aca="false">WORKDAY($B$4-1,24,$AG$9:$AG$40)</f>
        <v>46363</v>
      </c>
      <c r="J15" s="72" t="s">
        <v>133</v>
      </c>
      <c r="K15" s="72" t="s">
        <v>32</v>
      </c>
      <c r="L15" s="72" t="n">
        <f aca="false">NETWORKDAYS(G15,H15,$AG$9:$AG$40)</f>
        <v>10</v>
      </c>
      <c r="M15" s="76" t="str">
        <f aca="false">IF(AND($G15&lt;=M$7+6,$H15&gt;=M$7),"■","")</f>
        <v/>
      </c>
      <c r="N15" s="76" t="str">
        <f aca="false">IF(AND($G15&lt;=N$7+6,$H15&gt;=N$7),"■","")</f>
        <v/>
      </c>
      <c r="O15" s="76" t="str">
        <f aca="false">IF(AND($G15&lt;=O$7+6,$H15&gt;=O$7),"■","")</f>
        <v/>
      </c>
      <c r="P15" s="76" t="str">
        <f aca="false">IF(AND($G15&lt;=P$7+6,$H15&gt;=P$7),"■","")</f>
        <v>■</v>
      </c>
      <c r="Q15" s="76" t="str">
        <f aca="false">IF(AND($G15&lt;=Q$7+6,$H15&gt;=Q$7),"■","")</f>
        <v>■</v>
      </c>
      <c r="R15" s="76" t="str">
        <f aca="false">IF(AND($G15&lt;=R$7+6,$H15&gt;=R$7),"■","")</f>
        <v>■</v>
      </c>
      <c r="S15" s="76" t="str">
        <f aca="false">IF(AND($G15&lt;=S$7+6,$H15&gt;=S$7),"■","")</f>
        <v/>
      </c>
      <c r="T15" s="76" t="str">
        <f aca="false">IF(AND($G15&lt;=T$7+6,$H15&gt;=T$7),"■","")</f>
        <v/>
      </c>
      <c r="U15" s="76" t="str">
        <f aca="false">IF(AND($G15&lt;=U$7+6,$H15&gt;=U$7),"■","")</f>
        <v/>
      </c>
      <c r="V15" s="76" t="str">
        <f aca="false">IF(AND($G15&lt;=V$7+6,$H15&gt;=V$7),"■","")</f>
        <v/>
      </c>
      <c r="W15" s="76" t="str">
        <f aca="false">IF(AND($G15&lt;=W$7+6,$H15&gt;=W$7),"■","")</f>
        <v/>
      </c>
      <c r="X15" s="76" t="str">
        <f aca="false">IF(AND($G15&lt;=X$7+6,$H15&gt;=X$7),"■","")</f>
        <v/>
      </c>
      <c r="Y15" s="76" t="str">
        <f aca="false">IF(AND($G15&lt;=Y$7+6,$H15&gt;=Y$7),"■","")</f>
        <v/>
      </c>
      <c r="Z15" s="76" t="str">
        <f aca="false">IF(AND($G15&lt;=Z$7+6,$H15&gt;=Z$7),"■","")</f>
        <v/>
      </c>
      <c r="AA15" s="76" t="str">
        <f aca="false">IF(AND($G15&lt;=AA$7+6,$H15&gt;=AA$7),"■","")</f>
        <v/>
      </c>
      <c r="AB15" s="76" t="str">
        <f aca="false">IF(AND($G15&lt;=AB$7+6,$H15&gt;=AB$7),"■","")</f>
        <v/>
      </c>
      <c r="AC15" s="76" t="str">
        <f aca="false">IF(AND($G15&lt;=AC$7+6,$H15&gt;=AC$7),"■","")</f>
        <v/>
      </c>
      <c r="AD15" s="76" t="str">
        <f aca="false">IF(AND($G15&lt;=AD$7+6,$H15&gt;=AD$7),"■","")</f>
        <v/>
      </c>
      <c r="AE15" s="76" t="str">
        <f aca="false">IF(AND($G15&lt;=AE$7+6,$H15&gt;=AE$7),"■","")</f>
        <v/>
      </c>
      <c r="AG15" s="77" t="n">
        <v>46391</v>
      </c>
      <c r="AH15" s="78" t="s">
        <v>159</v>
      </c>
    </row>
    <row r="16" customFormat="false" ht="39.75" hidden="false" customHeight="true" outlineLevel="0" collapsed="false">
      <c r="A16" s="79" t="s">
        <v>160</v>
      </c>
      <c r="B16" s="80" t="s">
        <v>150</v>
      </c>
      <c r="C16" s="81" t="s">
        <v>161</v>
      </c>
      <c r="D16" s="82" t="s">
        <v>124</v>
      </c>
      <c r="E16" s="86" t="s">
        <v>162</v>
      </c>
      <c r="F16" s="83" t="s">
        <v>163</v>
      </c>
      <c r="G16" s="75" t="n">
        <f aca="false">WORKDAY($B$4-1,25,$AG$9:$AG$40)</f>
        <v>46364</v>
      </c>
      <c r="H16" s="75" t="n">
        <f aca="false">WORKDAY($B$4-1,31,$AG$9:$AG$40)</f>
        <v>46372</v>
      </c>
      <c r="I16" s="75" t="n">
        <f aca="false">WORKDAY($B$4-1,31,$AG$9:$AG$40)</f>
        <v>46372</v>
      </c>
      <c r="J16" s="84" t="s">
        <v>164</v>
      </c>
      <c r="K16" s="80" t="s">
        <v>32</v>
      </c>
      <c r="L16" s="80" t="n">
        <f aca="false">NETWORKDAYS(G16,H16,$AG$9:$AG$40)</f>
        <v>7</v>
      </c>
      <c r="M16" s="85" t="str">
        <f aca="false">IF(AND($G16&lt;=M$7+6,$H16&gt;=M$7),"■","")</f>
        <v/>
      </c>
      <c r="N16" s="85" t="str">
        <f aca="false">IF(AND($G16&lt;=N$7+6,$H16&gt;=N$7),"■","")</f>
        <v/>
      </c>
      <c r="O16" s="85" t="str">
        <f aca="false">IF(AND($G16&lt;=O$7+6,$H16&gt;=O$7),"■","")</f>
        <v/>
      </c>
      <c r="P16" s="85" t="str">
        <f aca="false">IF(AND($G16&lt;=P$7+6,$H16&gt;=P$7),"■","")</f>
        <v/>
      </c>
      <c r="Q16" s="85" t="str">
        <f aca="false">IF(AND($G16&lt;=Q$7+6,$H16&gt;=Q$7),"■","")</f>
        <v/>
      </c>
      <c r="R16" s="85" t="str">
        <f aca="false">IF(AND($G16&lt;=R$7+6,$H16&gt;=R$7),"■","")</f>
        <v>■</v>
      </c>
      <c r="S16" s="85" t="str">
        <f aca="false">IF(AND($G16&lt;=S$7+6,$H16&gt;=S$7),"■","")</f>
        <v>■</v>
      </c>
      <c r="T16" s="85" t="str">
        <f aca="false">IF(AND($G16&lt;=T$7+6,$H16&gt;=T$7),"■","")</f>
        <v/>
      </c>
      <c r="U16" s="85" t="str">
        <f aca="false">IF(AND($G16&lt;=U$7+6,$H16&gt;=U$7),"■","")</f>
        <v/>
      </c>
      <c r="V16" s="85" t="str">
        <f aca="false">IF(AND($G16&lt;=V$7+6,$H16&gt;=V$7),"■","")</f>
        <v/>
      </c>
      <c r="W16" s="85" t="str">
        <f aca="false">IF(AND($G16&lt;=W$7+6,$H16&gt;=W$7),"■","")</f>
        <v/>
      </c>
      <c r="X16" s="85" t="str">
        <f aca="false">IF(AND($G16&lt;=X$7+6,$H16&gt;=X$7),"■","")</f>
        <v/>
      </c>
      <c r="Y16" s="85" t="str">
        <f aca="false">IF(AND($G16&lt;=Y$7+6,$H16&gt;=Y$7),"■","")</f>
        <v/>
      </c>
      <c r="Z16" s="85" t="str">
        <f aca="false">IF(AND($G16&lt;=Z$7+6,$H16&gt;=Z$7),"■","")</f>
        <v/>
      </c>
      <c r="AA16" s="85" t="str">
        <f aca="false">IF(AND($G16&lt;=AA$7+6,$H16&gt;=AA$7),"■","")</f>
        <v/>
      </c>
      <c r="AB16" s="85" t="str">
        <f aca="false">IF(AND($G16&lt;=AB$7+6,$H16&gt;=AB$7),"■","")</f>
        <v/>
      </c>
      <c r="AC16" s="85" t="str">
        <f aca="false">IF(AND($G16&lt;=AC$7+6,$H16&gt;=AC$7),"■","")</f>
        <v/>
      </c>
      <c r="AD16" s="85" t="str">
        <f aca="false">IF(AND($G16&lt;=AD$7+6,$H16&gt;=AD$7),"■","")</f>
        <v/>
      </c>
      <c r="AE16" s="85" t="str">
        <f aca="false">IF(AND($G16&lt;=AE$7+6,$H16&gt;=AE$7),"■","")</f>
        <v/>
      </c>
      <c r="AG16" s="77" t="n">
        <v>46398</v>
      </c>
      <c r="AH16" s="78" t="s">
        <v>165</v>
      </c>
    </row>
    <row r="17" customFormat="false" ht="39.75" hidden="false" customHeight="true" outlineLevel="0" collapsed="false">
      <c r="A17" s="71" t="s">
        <v>166</v>
      </c>
      <c r="B17" s="72" t="s">
        <v>167</v>
      </c>
      <c r="C17" s="73" t="s">
        <v>168</v>
      </c>
      <c r="D17" s="74" t="s">
        <v>152</v>
      </c>
      <c r="E17" s="74" t="s">
        <v>169</v>
      </c>
      <c r="F17" s="74" t="s">
        <v>170</v>
      </c>
      <c r="G17" s="75" t="n">
        <f aca="false">WORKDAY($B$4-1,34,$AG$9:$AG$40)</f>
        <v>46377</v>
      </c>
      <c r="H17" s="75" t="n">
        <f aca="false">WORKDAY($B$4-1,34,$AG$9:$AG$40)</f>
        <v>46377</v>
      </c>
      <c r="I17" s="75" t="s">
        <v>126</v>
      </c>
      <c r="J17" s="72" t="s">
        <v>160</v>
      </c>
      <c r="K17" s="72" t="s">
        <v>32</v>
      </c>
      <c r="L17" s="72" t="n">
        <f aca="false">NETWORKDAYS(G17,H17,$AG$9:$AG$40)</f>
        <v>1</v>
      </c>
      <c r="M17" s="76" t="str">
        <f aca="false">IF(AND($G17&lt;=M$7+6,$H17&gt;=M$7),"■","")</f>
        <v/>
      </c>
      <c r="N17" s="76" t="str">
        <f aca="false">IF(AND($G17&lt;=N$7+6,$H17&gt;=N$7),"■","")</f>
        <v/>
      </c>
      <c r="O17" s="76" t="str">
        <f aca="false">IF(AND($G17&lt;=O$7+6,$H17&gt;=O$7),"■","")</f>
        <v/>
      </c>
      <c r="P17" s="76" t="str">
        <f aca="false">IF(AND($G17&lt;=P$7+6,$H17&gt;=P$7),"■","")</f>
        <v/>
      </c>
      <c r="Q17" s="76" t="str">
        <f aca="false">IF(AND($G17&lt;=Q$7+6,$H17&gt;=Q$7),"■","")</f>
        <v/>
      </c>
      <c r="R17" s="76" t="str">
        <f aca="false">IF(AND($G17&lt;=R$7+6,$H17&gt;=R$7),"■","")</f>
        <v/>
      </c>
      <c r="S17" s="76" t="str">
        <f aca="false">IF(AND($G17&lt;=S$7+6,$H17&gt;=S$7),"■","")</f>
        <v/>
      </c>
      <c r="T17" s="76" t="str">
        <f aca="false">IF(AND($G17&lt;=T$7+6,$H17&gt;=T$7),"■","")</f>
        <v>■</v>
      </c>
      <c r="U17" s="76" t="str">
        <f aca="false">IF(AND($G17&lt;=U$7+6,$H17&gt;=U$7),"■","")</f>
        <v/>
      </c>
      <c r="V17" s="76" t="str">
        <f aca="false">IF(AND($G17&lt;=V$7+6,$H17&gt;=V$7),"■","")</f>
        <v/>
      </c>
      <c r="W17" s="76" t="str">
        <f aca="false">IF(AND($G17&lt;=W$7+6,$H17&gt;=W$7),"■","")</f>
        <v/>
      </c>
      <c r="X17" s="76" t="str">
        <f aca="false">IF(AND($G17&lt;=X$7+6,$H17&gt;=X$7),"■","")</f>
        <v/>
      </c>
      <c r="Y17" s="76" t="str">
        <f aca="false">IF(AND($G17&lt;=Y$7+6,$H17&gt;=Y$7),"■","")</f>
        <v/>
      </c>
      <c r="Z17" s="76" t="str">
        <f aca="false">IF(AND($G17&lt;=Z$7+6,$H17&gt;=Z$7),"■","")</f>
        <v/>
      </c>
      <c r="AA17" s="76" t="str">
        <f aca="false">IF(AND($G17&lt;=AA$7+6,$H17&gt;=AA$7),"■","")</f>
        <v/>
      </c>
      <c r="AB17" s="76" t="str">
        <f aca="false">IF(AND($G17&lt;=AB$7+6,$H17&gt;=AB$7),"■","")</f>
        <v/>
      </c>
      <c r="AC17" s="76" t="str">
        <f aca="false">IF(AND($G17&lt;=AC$7+6,$H17&gt;=AC$7),"■","")</f>
        <v/>
      </c>
      <c r="AD17" s="76" t="str">
        <f aca="false">IF(AND($G17&lt;=AD$7+6,$H17&gt;=AD$7),"■","")</f>
        <v/>
      </c>
      <c r="AE17" s="76" t="str">
        <f aca="false">IF(AND($G17&lt;=AE$7+6,$H17&gt;=AE$7),"■","")</f>
        <v/>
      </c>
      <c r="AG17" s="77" t="n">
        <v>46429</v>
      </c>
      <c r="AH17" s="78" t="s">
        <v>171</v>
      </c>
    </row>
    <row r="18" customFormat="false" ht="39.75" hidden="false" customHeight="true" outlineLevel="0" collapsed="false">
      <c r="A18" s="79" t="s">
        <v>172</v>
      </c>
      <c r="B18" s="80" t="s">
        <v>167</v>
      </c>
      <c r="C18" s="81" t="s">
        <v>173</v>
      </c>
      <c r="D18" s="82" t="s">
        <v>152</v>
      </c>
      <c r="E18" s="86" t="s">
        <v>124</v>
      </c>
      <c r="F18" s="86" t="s">
        <v>174</v>
      </c>
      <c r="G18" s="75" t="n">
        <f aca="false">WORKDAY($B$4-1,35,$AG$9:$AG$40)</f>
        <v>46378</v>
      </c>
      <c r="H18" s="75" t="n">
        <f aca="false">WORKDAY($B$4-1,35,$AG$9:$AG$40)</f>
        <v>46378</v>
      </c>
      <c r="I18" s="75" t="s">
        <v>126</v>
      </c>
      <c r="J18" s="84" t="s">
        <v>166</v>
      </c>
      <c r="K18" s="80" t="s">
        <v>32</v>
      </c>
      <c r="L18" s="80" t="n">
        <f aca="false">NETWORKDAYS(G18,H18,$AG$9:$AG$40)</f>
        <v>1</v>
      </c>
      <c r="M18" s="85" t="str">
        <f aca="false">IF(AND($G18&lt;=M$7+6,$H18&gt;=M$7),"■","")</f>
        <v/>
      </c>
      <c r="N18" s="85" t="str">
        <f aca="false">IF(AND($G18&lt;=N$7+6,$H18&gt;=N$7),"■","")</f>
        <v/>
      </c>
      <c r="O18" s="85" t="str">
        <f aca="false">IF(AND($G18&lt;=O$7+6,$H18&gt;=O$7),"■","")</f>
        <v/>
      </c>
      <c r="P18" s="85" t="str">
        <f aca="false">IF(AND($G18&lt;=P$7+6,$H18&gt;=P$7),"■","")</f>
        <v/>
      </c>
      <c r="Q18" s="85" t="str">
        <f aca="false">IF(AND($G18&lt;=Q$7+6,$H18&gt;=Q$7),"■","")</f>
        <v/>
      </c>
      <c r="R18" s="85" t="str">
        <f aca="false">IF(AND($G18&lt;=R$7+6,$H18&gt;=R$7),"■","")</f>
        <v/>
      </c>
      <c r="S18" s="85" t="str">
        <f aca="false">IF(AND($G18&lt;=S$7+6,$H18&gt;=S$7),"■","")</f>
        <v/>
      </c>
      <c r="T18" s="85" t="str">
        <f aca="false">IF(AND($G18&lt;=T$7+6,$H18&gt;=T$7),"■","")</f>
        <v>■</v>
      </c>
      <c r="U18" s="85" t="str">
        <f aca="false">IF(AND($G18&lt;=U$7+6,$H18&gt;=U$7),"■","")</f>
        <v/>
      </c>
      <c r="V18" s="85" t="str">
        <f aca="false">IF(AND($G18&lt;=V$7+6,$H18&gt;=V$7),"■","")</f>
        <v/>
      </c>
      <c r="W18" s="85" t="str">
        <f aca="false">IF(AND($G18&lt;=W$7+6,$H18&gt;=W$7),"■","")</f>
        <v/>
      </c>
      <c r="X18" s="85" t="str">
        <f aca="false">IF(AND($G18&lt;=X$7+6,$H18&gt;=X$7),"■","")</f>
        <v/>
      </c>
      <c r="Y18" s="85" t="str">
        <f aca="false">IF(AND($G18&lt;=Y$7+6,$H18&gt;=Y$7),"■","")</f>
        <v/>
      </c>
      <c r="Z18" s="85" t="str">
        <f aca="false">IF(AND($G18&lt;=Z$7+6,$H18&gt;=Z$7),"■","")</f>
        <v/>
      </c>
      <c r="AA18" s="85" t="str">
        <f aca="false">IF(AND($G18&lt;=AA$7+6,$H18&gt;=AA$7),"■","")</f>
        <v/>
      </c>
      <c r="AB18" s="85" t="str">
        <f aca="false">IF(AND($G18&lt;=AB$7+6,$H18&gt;=AB$7),"■","")</f>
        <v/>
      </c>
      <c r="AC18" s="85" t="str">
        <f aca="false">IF(AND($G18&lt;=AC$7+6,$H18&gt;=AC$7),"■","")</f>
        <v/>
      </c>
      <c r="AD18" s="85" t="str">
        <f aca="false">IF(AND($G18&lt;=AD$7+6,$H18&gt;=AD$7),"■","")</f>
        <v/>
      </c>
      <c r="AE18" s="85" t="str">
        <f aca="false">IF(AND($G18&lt;=AE$7+6,$H18&gt;=AE$7),"■","")</f>
        <v/>
      </c>
      <c r="AG18" s="77" t="n">
        <v>46441</v>
      </c>
      <c r="AH18" s="78" t="s">
        <v>175</v>
      </c>
    </row>
    <row r="19" customFormat="false" ht="39.75" hidden="false" customHeight="true" outlineLevel="0" collapsed="false">
      <c r="A19" s="71" t="s">
        <v>176</v>
      </c>
      <c r="B19" s="72" t="s">
        <v>167</v>
      </c>
      <c r="C19" s="73" t="s">
        <v>177</v>
      </c>
      <c r="D19" s="74" t="s">
        <v>178</v>
      </c>
      <c r="E19" s="74" t="s">
        <v>124</v>
      </c>
      <c r="F19" s="74" t="s">
        <v>179</v>
      </c>
      <c r="G19" s="75" t="n">
        <f aca="false">WORKDAY($B$4-1,41,$AG$9:$AG$40)</f>
        <v>46393</v>
      </c>
      <c r="H19" s="75" t="n">
        <f aca="false">WORKDAY($B$4-1,41,$AG$9:$AG$40)</f>
        <v>46393</v>
      </c>
      <c r="I19" s="75" t="s">
        <v>126</v>
      </c>
      <c r="J19" s="72" t="s">
        <v>172</v>
      </c>
      <c r="K19" s="72" t="s">
        <v>32</v>
      </c>
      <c r="L19" s="72" t="n">
        <f aca="false">NETWORKDAYS(G19,H19,$AG$9:$AG$40)</f>
        <v>1</v>
      </c>
      <c r="M19" s="76" t="str">
        <f aca="false">IF(AND($G19&lt;=M$7+6,$H19&gt;=M$7),"■","")</f>
        <v/>
      </c>
      <c r="N19" s="76" t="str">
        <f aca="false">IF(AND($G19&lt;=N$7+6,$H19&gt;=N$7),"■","")</f>
        <v/>
      </c>
      <c r="O19" s="76" t="str">
        <f aca="false">IF(AND($G19&lt;=O$7+6,$H19&gt;=O$7),"■","")</f>
        <v/>
      </c>
      <c r="P19" s="76" t="str">
        <f aca="false">IF(AND($G19&lt;=P$7+6,$H19&gt;=P$7),"■","")</f>
        <v/>
      </c>
      <c r="Q19" s="76" t="str">
        <f aca="false">IF(AND($G19&lt;=Q$7+6,$H19&gt;=Q$7),"■","")</f>
        <v/>
      </c>
      <c r="R19" s="76" t="str">
        <f aca="false">IF(AND($G19&lt;=R$7+6,$H19&gt;=R$7),"■","")</f>
        <v/>
      </c>
      <c r="S19" s="76" t="str">
        <f aca="false">IF(AND($G19&lt;=S$7+6,$H19&gt;=S$7),"■","")</f>
        <v/>
      </c>
      <c r="T19" s="76" t="str">
        <f aca="false">IF(AND($G19&lt;=T$7+6,$H19&gt;=T$7),"■","")</f>
        <v/>
      </c>
      <c r="U19" s="76" t="str">
        <f aca="false">IF(AND($G19&lt;=U$7+6,$H19&gt;=U$7),"■","")</f>
        <v/>
      </c>
      <c r="V19" s="76" t="str">
        <f aca="false">IF(AND($G19&lt;=V$7+6,$H19&gt;=V$7),"■","")</f>
        <v>■</v>
      </c>
      <c r="W19" s="76" t="str">
        <f aca="false">IF(AND($G19&lt;=W$7+6,$H19&gt;=W$7),"■","")</f>
        <v/>
      </c>
      <c r="X19" s="76" t="str">
        <f aca="false">IF(AND($G19&lt;=X$7+6,$H19&gt;=X$7),"■","")</f>
        <v/>
      </c>
      <c r="Y19" s="76" t="str">
        <f aca="false">IF(AND($G19&lt;=Y$7+6,$H19&gt;=Y$7),"■","")</f>
        <v/>
      </c>
      <c r="Z19" s="76" t="str">
        <f aca="false">IF(AND($G19&lt;=Z$7+6,$H19&gt;=Z$7),"■","")</f>
        <v/>
      </c>
      <c r="AA19" s="76" t="str">
        <f aca="false">IF(AND($G19&lt;=AA$7+6,$H19&gt;=AA$7),"■","")</f>
        <v/>
      </c>
      <c r="AB19" s="76" t="str">
        <f aca="false">IF(AND($G19&lt;=AB$7+6,$H19&gt;=AB$7),"■","")</f>
        <v/>
      </c>
      <c r="AC19" s="76" t="str">
        <f aca="false">IF(AND($G19&lt;=AC$7+6,$H19&gt;=AC$7),"■","")</f>
        <v/>
      </c>
      <c r="AD19" s="76" t="str">
        <f aca="false">IF(AND($G19&lt;=AD$7+6,$H19&gt;=AD$7),"■","")</f>
        <v/>
      </c>
      <c r="AE19" s="76" t="str">
        <f aca="false">IF(AND($G19&lt;=AE$7+6,$H19&gt;=AE$7),"■","")</f>
        <v/>
      </c>
      <c r="AG19" s="77" t="n">
        <v>46468</v>
      </c>
      <c r="AH19" s="78" t="s">
        <v>180</v>
      </c>
    </row>
    <row r="20" customFormat="false" ht="39.75" hidden="false" customHeight="true" outlineLevel="0" collapsed="false">
      <c r="A20" s="79" t="s">
        <v>181</v>
      </c>
      <c r="B20" s="80" t="s">
        <v>182</v>
      </c>
      <c r="C20" s="81" t="s">
        <v>183</v>
      </c>
      <c r="D20" s="82" t="s">
        <v>178</v>
      </c>
      <c r="E20" s="83" t="s">
        <v>126</v>
      </c>
      <c r="F20" s="86" t="s">
        <v>184</v>
      </c>
      <c r="G20" s="75" t="n">
        <f aca="false">WORKDAY($B$4-1,36,$AG$9:$AG$40)</f>
        <v>46379</v>
      </c>
      <c r="H20" s="75" t="n">
        <f aca="false">WORKDAY($B$4-1,42,$AG$9:$AG$40)</f>
        <v>46394</v>
      </c>
      <c r="I20" s="75" t="s">
        <v>126</v>
      </c>
      <c r="J20" s="84" t="s">
        <v>172</v>
      </c>
      <c r="K20" s="80" t="s">
        <v>32</v>
      </c>
      <c r="L20" s="80" t="n">
        <f aca="false">NETWORKDAYS(G20,H20,$AG$9:$AG$40)</f>
        <v>7</v>
      </c>
      <c r="M20" s="85" t="str">
        <f aca="false">IF(AND($G20&lt;=M$7+6,$H20&gt;=M$7),"■","")</f>
        <v/>
      </c>
      <c r="N20" s="85" t="str">
        <f aca="false">IF(AND($G20&lt;=N$7+6,$H20&gt;=N$7),"■","")</f>
        <v/>
      </c>
      <c r="O20" s="85" t="str">
        <f aca="false">IF(AND($G20&lt;=O$7+6,$H20&gt;=O$7),"■","")</f>
        <v/>
      </c>
      <c r="P20" s="85" t="str">
        <f aca="false">IF(AND($G20&lt;=P$7+6,$H20&gt;=P$7),"■","")</f>
        <v/>
      </c>
      <c r="Q20" s="85" t="str">
        <f aca="false">IF(AND($G20&lt;=Q$7+6,$H20&gt;=Q$7),"■","")</f>
        <v/>
      </c>
      <c r="R20" s="85" t="str">
        <f aca="false">IF(AND($G20&lt;=R$7+6,$H20&gt;=R$7),"■","")</f>
        <v/>
      </c>
      <c r="S20" s="85" t="str">
        <f aca="false">IF(AND($G20&lt;=S$7+6,$H20&gt;=S$7),"■","")</f>
        <v/>
      </c>
      <c r="T20" s="85" t="str">
        <f aca="false">IF(AND($G20&lt;=T$7+6,$H20&gt;=T$7),"■","")</f>
        <v>■</v>
      </c>
      <c r="U20" s="85" t="str">
        <f aca="false">IF(AND($G20&lt;=U$7+6,$H20&gt;=U$7),"■","")</f>
        <v>■</v>
      </c>
      <c r="V20" s="85" t="str">
        <f aca="false">IF(AND($G20&lt;=V$7+6,$H20&gt;=V$7),"■","")</f>
        <v>■</v>
      </c>
      <c r="W20" s="85" t="str">
        <f aca="false">IF(AND($G20&lt;=W$7+6,$H20&gt;=W$7),"■","")</f>
        <v/>
      </c>
      <c r="X20" s="85" t="str">
        <f aca="false">IF(AND($G20&lt;=X$7+6,$H20&gt;=X$7),"■","")</f>
        <v/>
      </c>
      <c r="Y20" s="85" t="str">
        <f aca="false">IF(AND($G20&lt;=Y$7+6,$H20&gt;=Y$7),"■","")</f>
        <v/>
      </c>
      <c r="Z20" s="85" t="str">
        <f aca="false">IF(AND($G20&lt;=Z$7+6,$H20&gt;=Z$7),"■","")</f>
        <v/>
      </c>
      <c r="AA20" s="85" t="str">
        <f aca="false">IF(AND($G20&lt;=AA$7+6,$H20&gt;=AA$7),"■","")</f>
        <v/>
      </c>
      <c r="AB20" s="85" t="str">
        <f aca="false">IF(AND($G20&lt;=AB$7+6,$H20&gt;=AB$7),"■","")</f>
        <v/>
      </c>
      <c r="AC20" s="85" t="str">
        <f aca="false">IF(AND($G20&lt;=AC$7+6,$H20&gt;=AC$7),"■","")</f>
        <v/>
      </c>
      <c r="AD20" s="85" t="str">
        <f aca="false">IF(AND($G20&lt;=AD$7+6,$H20&gt;=AD$7),"■","")</f>
        <v/>
      </c>
      <c r="AE20" s="85" t="str">
        <f aca="false">IF(AND($G20&lt;=AE$7+6,$H20&gt;=AE$7),"■","")</f>
        <v/>
      </c>
      <c r="AG20" s="77" t="n">
        <v>46506</v>
      </c>
      <c r="AH20" s="78" t="s">
        <v>185</v>
      </c>
    </row>
    <row r="21" customFormat="false" ht="39.75" hidden="false" customHeight="true" outlineLevel="0" collapsed="false">
      <c r="A21" s="71" t="s">
        <v>186</v>
      </c>
      <c r="B21" s="72" t="s">
        <v>187</v>
      </c>
      <c r="C21" s="73" t="s">
        <v>188</v>
      </c>
      <c r="D21" s="74" t="s">
        <v>189</v>
      </c>
      <c r="E21" s="74" t="s">
        <v>126</v>
      </c>
      <c r="F21" s="74" t="s">
        <v>190</v>
      </c>
      <c r="G21" s="75" t="n">
        <f aca="false">WORKDAY($B$4-1,36,$AG$9:$AG$40)</f>
        <v>46379</v>
      </c>
      <c r="H21" s="75" t="n">
        <f aca="false">WORKDAY($B$4-1,44,$AG$9:$AG$40)</f>
        <v>46399</v>
      </c>
      <c r="I21" s="75" t="s">
        <v>126</v>
      </c>
      <c r="J21" s="72" t="s">
        <v>172</v>
      </c>
      <c r="K21" s="72" t="s">
        <v>32</v>
      </c>
      <c r="L21" s="72" t="n">
        <f aca="false">NETWORKDAYS(G21,H21,$AG$9:$AG$40)</f>
        <v>9</v>
      </c>
      <c r="M21" s="76" t="str">
        <f aca="false">IF(AND($G21&lt;=M$7+6,$H21&gt;=M$7),"■","")</f>
        <v/>
      </c>
      <c r="N21" s="76" t="str">
        <f aca="false">IF(AND($G21&lt;=N$7+6,$H21&gt;=N$7),"■","")</f>
        <v/>
      </c>
      <c r="O21" s="76" t="str">
        <f aca="false">IF(AND($G21&lt;=O$7+6,$H21&gt;=O$7),"■","")</f>
        <v/>
      </c>
      <c r="P21" s="76" t="str">
        <f aca="false">IF(AND($G21&lt;=P$7+6,$H21&gt;=P$7),"■","")</f>
        <v/>
      </c>
      <c r="Q21" s="76" t="str">
        <f aca="false">IF(AND($G21&lt;=Q$7+6,$H21&gt;=Q$7),"■","")</f>
        <v/>
      </c>
      <c r="R21" s="76" t="str">
        <f aca="false">IF(AND($G21&lt;=R$7+6,$H21&gt;=R$7),"■","")</f>
        <v/>
      </c>
      <c r="S21" s="76" t="str">
        <f aca="false">IF(AND($G21&lt;=S$7+6,$H21&gt;=S$7),"■","")</f>
        <v/>
      </c>
      <c r="T21" s="76" t="str">
        <f aca="false">IF(AND($G21&lt;=T$7+6,$H21&gt;=T$7),"■","")</f>
        <v>■</v>
      </c>
      <c r="U21" s="76" t="str">
        <f aca="false">IF(AND($G21&lt;=U$7+6,$H21&gt;=U$7),"■","")</f>
        <v>■</v>
      </c>
      <c r="V21" s="76" t="str">
        <f aca="false">IF(AND($G21&lt;=V$7+6,$H21&gt;=V$7),"■","")</f>
        <v>■</v>
      </c>
      <c r="W21" s="76" t="str">
        <f aca="false">IF(AND($G21&lt;=W$7+6,$H21&gt;=W$7),"■","")</f>
        <v>■</v>
      </c>
      <c r="X21" s="76" t="str">
        <f aca="false">IF(AND($G21&lt;=X$7+6,$H21&gt;=X$7),"■","")</f>
        <v/>
      </c>
      <c r="Y21" s="76" t="str">
        <f aca="false">IF(AND($G21&lt;=Y$7+6,$H21&gt;=Y$7),"■","")</f>
        <v/>
      </c>
      <c r="Z21" s="76" t="str">
        <f aca="false">IF(AND($G21&lt;=Z$7+6,$H21&gt;=Z$7),"■","")</f>
        <v/>
      </c>
      <c r="AA21" s="76" t="str">
        <f aca="false">IF(AND($G21&lt;=AA$7+6,$H21&gt;=AA$7),"■","")</f>
        <v/>
      </c>
      <c r="AB21" s="76" t="str">
        <f aca="false">IF(AND($G21&lt;=AB$7+6,$H21&gt;=AB$7),"■","")</f>
        <v/>
      </c>
      <c r="AC21" s="76" t="str">
        <f aca="false">IF(AND($G21&lt;=AC$7+6,$H21&gt;=AC$7),"■","")</f>
        <v/>
      </c>
      <c r="AD21" s="76" t="str">
        <f aca="false">IF(AND($G21&lt;=AD$7+6,$H21&gt;=AD$7),"■","")</f>
        <v/>
      </c>
      <c r="AE21" s="76" t="str">
        <f aca="false">IF(AND($G21&lt;=AE$7+6,$H21&gt;=AE$7),"■","")</f>
        <v/>
      </c>
      <c r="AG21" s="77" t="n">
        <v>46510</v>
      </c>
      <c r="AH21" s="78" t="s">
        <v>191</v>
      </c>
    </row>
    <row r="22" customFormat="false" ht="39.75" hidden="false" customHeight="true" outlineLevel="0" collapsed="false">
      <c r="A22" s="79" t="s">
        <v>192</v>
      </c>
      <c r="B22" s="80" t="s">
        <v>193</v>
      </c>
      <c r="C22" s="81" t="s">
        <v>194</v>
      </c>
      <c r="D22" s="82" t="s">
        <v>124</v>
      </c>
      <c r="E22" s="86" t="s">
        <v>157</v>
      </c>
      <c r="F22" s="86" t="s">
        <v>195</v>
      </c>
      <c r="G22" s="75" t="n">
        <f aca="false">WORKDAY($B$4-1,45,$AG$9:$AG$40)</f>
        <v>46400</v>
      </c>
      <c r="H22" s="75" t="n">
        <f aca="false">WORKDAY($B$4-1,51,$AG$9:$AG$40)</f>
        <v>46408</v>
      </c>
      <c r="I22" s="75" t="n">
        <f aca="false">WORKDAY($B$4-1,51,$AG$9:$AG$40)</f>
        <v>46408</v>
      </c>
      <c r="J22" s="84" t="s">
        <v>196</v>
      </c>
      <c r="K22" s="80" t="s">
        <v>32</v>
      </c>
      <c r="L22" s="80" t="n">
        <f aca="false">NETWORKDAYS(G22,H22,$AG$9:$AG$40)</f>
        <v>7</v>
      </c>
      <c r="M22" s="85" t="str">
        <f aca="false">IF(AND($G22&lt;=M$7+6,$H22&gt;=M$7),"■","")</f>
        <v/>
      </c>
      <c r="N22" s="85" t="str">
        <f aca="false">IF(AND($G22&lt;=N$7+6,$H22&gt;=N$7),"■","")</f>
        <v/>
      </c>
      <c r="O22" s="85" t="str">
        <f aca="false">IF(AND($G22&lt;=O$7+6,$H22&gt;=O$7),"■","")</f>
        <v/>
      </c>
      <c r="P22" s="85" t="str">
        <f aca="false">IF(AND($G22&lt;=P$7+6,$H22&gt;=P$7),"■","")</f>
        <v/>
      </c>
      <c r="Q22" s="85" t="str">
        <f aca="false">IF(AND($G22&lt;=Q$7+6,$H22&gt;=Q$7),"■","")</f>
        <v/>
      </c>
      <c r="R22" s="85" t="str">
        <f aca="false">IF(AND($G22&lt;=R$7+6,$H22&gt;=R$7),"■","")</f>
        <v/>
      </c>
      <c r="S22" s="85" t="str">
        <f aca="false">IF(AND($G22&lt;=S$7+6,$H22&gt;=S$7),"■","")</f>
        <v/>
      </c>
      <c r="T22" s="85" t="str">
        <f aca="false">IF(AND($G22&lt;=T$7+6,$H22&gt;=T$7),"■","")</f>
        <v/>
      </c>
      <c r="U22" s="85" t="str">
        <f aca="false">IF(AND($G22&lt;=U$7+6,$H22&gt;=U$7),"■","")</f>
        <v/>
      </c>
      <c r="V22" s="85" t="str">
        <f aca="false">IF(AND($G22&lt;=V$7+6,$H22&gt;=V$7),"■","")</f>
        <v/>
      </c>
      <c r="W22" s="85" t="str">
        <f aca="false">IF(AND($G22&lt;=W$7+6,$H22&gt;=W$7),"■","")</f>
        <v>■</v>
      </c>
      <c r="X22" s="85" t="str">
        <f aca="false">IF(AND($G22&lt;=X$7+6,$H22&gt;=X$7),"■","")</f>
        <v>■</v>
      </c>
      <c r="Y22" s="85" t="str">
        <f aca="false">IF(AND($G22&lt;=Y$7+6,$H22&gt;=Y$7),"■","")</f>
        <v/>
      </c>
      <c r="Z22" s="85" t="str">
        <f aca="false">IF(AND($G22&lt;=Z$7+6,$H22&gt;=Z$7),"■","")</f>
        <v/>
      </c>
      <c r="AA22" s="85" t="str">
        <f aca="false">IF(AND($G22&lt;=AA$7+6,$H22&gt;=AA$7),"■","")</f>
        <v/>
      </c>
      <c r="AB22" s="85" t="str">
        <f aca="false">IF(AND($G22&lt;=AB$7+6,$H22&gt;=AB$7),"■","")</f>
        <v/>
      </c>
      <c r="AC22" s="85" t="str">
        <f aca="false">IF(AND($G22&lt;=AC$7+6,$H22&gt;=AC$7),"■","")</f>
        <v/>
      </c>
      <c r="AD22" s="85" t="str">
        <f aca="false">IF(AND($G22&lt;=AD$7+6,$H22&gt;=AD$7),"■","")</f>
        <v/>
      </c>
      <c r="AE22" s="85" t="str">
        <f aca="false">IF(AND($G22&lt;=AE$7+6,$H22&gt;=AE$7),"■","")</f>
        <v/>
      </c>
      <c r="AG22" s="77" t="n">
        <v>46511</v>
      </c>
      <c r="AH22" s="78" t="s">
        <v>197</v>
      </c>
    </row>
    <row r="23" customFormat="false" ht="39.75" hidden="false" customHeight="true" outlineLevel="0" collapsed="false">
      <c r="A23" s="71" t="s">
        <v>198</v>
      </c>
      <c r="B23" s="72" t="s">
        <v>199</v>
      </c>
      <c r="C23" s="73" t="s">
        <v>200</v>
      </c>
      <c r="D23" s="74" t="s">
        <v>201</v>
      </c>
      <c r="E23" s="74" t="s">
        <v>126</v>
      </c>
      <c r="F23" s="74" t="s">
        <v>202</v>
      </c>
      <c r="G23" s="75" t="n">
        <f aca="false">WORKDAY($B$4-1,52,$AG$9:$AG$40)</f>
        <v>46409</v>
      </c>
      <c r="H23" s="75" t="n">
        <f aca="false">WORKDAY($B$4-1,54,$AG$9:$AG$40)</f>
        <v>46413</v>
      </c>
      <c r="I23" s="75" t="s">
        <v>126</v>
      </c>
      <c r="J23" s="72" t="s">
        <v>192</v>
      </c>
      <c r="K23" s="72" t="s">
        <v>32</v>
      </c>
      <c r="L23" s="72" t="n">
        <f aca="false">NETWORKDAYS(G23,H23,$AG$9:$AG$40)</f>
        <v>3</v>
      </c>
      <c r="M23" s="76" t="str">
        <f aca="false">IF(AND($G23&lt;=M$7+6,$H23&gt;=M$7),"■","")</f>
        <v/>
      </c>
      <c r="N23" s="76" t="str">
        <f aca="false">IF(AND($G23&lt;=N$7+6,$H23&gt;=N$7),"■","")</f>
        <v/>
      </c>
      <c r="O23" s="76" t="str">
        <f aca="false">IF(AND($G23&lt;=O$7+6,$H23&gt;=O$7),"■","")</f>
        <v/>
      </c>
      <c r="P23" s="76" t="str">
        <f aca="false">IF(AND($G23&lt;=P$7+6,$H23&gt;=P$7),"■","")</f>
        <v/>
      </c>
      <c r="Q23" s="76" t="str">
        <f aca="false">IF(AND($G23&lt;=Q$7+6,$H23&gt;=Q$7),"■","")</f>
        <v/>
      </c>
      <c r="R23" s="76" t="str">
        <f aca="false">IF(AND($G23&lt;=R$7+6,$H23&gt;=R$7),"■","")</f>
        <v/>
      </c>
      <c r="S23" s="76" t="str">
        <f aca="false">IF(AND($G23&lt;=S$7+6,$H23&gt;=S$7),"■","")</f>
        <v/>
      </c>
      <c r="T23" s="76" t="str">
        <f aca="false">IF(AND($G23&lt;=T$7+6,$H23&gt;=T$7),"■","")</f>
        <v/>
      </c>
      <c r="U23" s="76" t="str">
        <f aca="false">IF(AND($G23&lt;=U$7+6,$H23&gt;=U$7),"■","")</f>
        <v/>
      </c>
      <c r="V23" s="76" t="str">
        <f aca="false">IF(AND($G23&lt;=V$7+6,$H23&gt;=V$7),"■","")</f>
        <v/>
      </c>
      <c r="W23" s="76" t="str">
        <f aca="false">IF(AND($G23&lt;=W$7+6,$H23&gt;=W$7),"■","")</f>
        <v/>
      </c>
      <c r="X23" s="76" t="str">
        <f aca="false">IF(AND($G23&lt;=X$7+6,$H23&gt;=X$7),"■","")</f>
        <v>■</v>
      </c>
      <c r="Y23" s="76" t="str">
        <f aca="false">IF(AND($G23&lt;=Y$7+6,$H23&gt;=Y$7),"■","")</f>
        <v>■</v>
      </c>
      <c r="Z23" s="76" t="str">
        <f aca="false">IF(AND($G23&lt;=Z$7+6,$H23&gt;=Z$7),"■","")</f>
        <v/>
      </c>
      <c r="AA23" s="76" t="str">
        <f aca="false">IF(AND($G23&lt;=AA$7+6,$H23&gt;=AA$7),"■","")</f>
        <v/>
      </c>
      <c r="AB23" s="76" t="str">
        <f aca="false">IF(AND($G23&lt;=AB$7+6,$H23&gt;=AB$7),"■","")</f>
        <v/>
      </c>
      <c r="AC23" s="76" t="str">
        <f aca="false">IF(AND($G23&lt;=AC$7+6,$H23&gt;=AC$7),"■","")</f>
        <v/>
      </c>
      <c r="AD23" s="76" t="str">
        <f aca="false">IF(AND($G23&lt;=AD$7+6,$H23&gt;=AD$7),"■","")</f>
        <v/>
      </c>
      <c r="AE23" s="76" t="str">
        <f aca="false">IF(AND($G23&lt;=AE$7+6,$H23&gt;=AE$7),"■","")</f>
        <v/>
      </c>
      <c r="AG23" s="77" t="n">
        <v>46512</v>
      </c>
      <c r="AH23" s="78" t="s">
        <v>203</v>
      </c>
    </row>
    <row r="24" customFormat="false" ht="39.75" hidden="false" customHeight="true" outlineLevel="0" collapsed="false">
      <c r="A24" s="79" t="s">
        <v>204</v>
      </c>
      <c r="B24" s="80" t="s">
        <v>205</v>
      </c>
      <c r="C24" s="81" t="s">
        <v>206</v>
      </c>
      <c r="D24" s="82" t="s">
        <v>207</v>
      </c>
      <c r="E24" s="83" t="s">
        <v>126</v>
      </c>
      <c r="F24" s="83" t="s">
        <v>208</v>
      </c>
      <c r="G24" s="75" t="n">
        <f aca="false">WORKDAY($B$4-1,40,$AG$9:$AG$40)</f>
        <v>46392</v>
      </c>
      <c r="H24" s="75" t="n">
        <f aca="false">WORKDAY($B$4-1,47,$AG$9:$AG$40)</f>
        <v>46402</v>
      </c>
      <c r="I24" s="75" t="s">
        <v>126</v>
      </c>
      <c r="J24" s="84" t="s">
        <v>209</v>
      </c>
      <c r="K24" s="80" t="s">
        <v>32</v>
      </c>
      <c r="L24" s="80" t="n">
        <f aca="false">NETWORKDAYS(G24,H24,$AG$9:$AG$40)</f>
        <v>8</v>
      </c>
      <c r="M24" s="85" t="str">
        <f aca="false">IF(AND($G24&lt;=M$7+6,$H24&gt;=M$7),"■","")</f>
        <v/>
      </c>
      <c r="N24" s="85" t="str">
        <f aca="false">IF(AND($G24&lt;=N$7+6,$H24&gt;=N$7),"■","")</f>
        <v/>
      </c>
      <c r="O24" s="85" t="str">
        <f aca="false">IF(AND($G24&lt;=O$7+6,$H24&gt;=O$7),"■","")</f>
        <v/>
      </c>
      <c r="P24" s="85" t="str">
        <f aca="false">IF(AND($G24&lt;=P$7+6,$H24&gt;=P$7),"■","")</f>
        <v/>
      </c>
      <c r="Q24" s="85" t="str">
        <f aca="false">IF(AND($G24&lt;=Q$7+6,$H24&gt;=Q$7),"■","")</f>
        <v/>
      </c>
      <c r="R24" s="85" t="str">
        <f aca="false">IF(AND($G24&lt;=R$7+6,$H24&gt;=R$7),"■","")</f>
        <v/>
      </c>
      <c r="S24" s="85" t="str">
        <f aca="false">IF(AND($G24&lt;=S$7+6,$H24&gt;=S$7),"■","")</f>
        <v/>
      </c>
      <c r="T24" s="85" t="str">
        <f aca="false">IF(AND($G24&lt;=T$7+6,$H24&gt;=T$7),"■","")</f>
        <v/>
      </c>
      <c r="U24" s="85" t="str">
        <f aca="false">IF(AND($G24&lt;=U$7+6,$H24&gt;=U$7),"■","")</f>
        <v/>
      </c>
      <c r="V24" s="85" t="str">
        <f aca="false">IF(AND($G24&lt;=V$7+6,$H24&gt;=V$7),"■","")</f>
        <v>■</v>
      </c>
      <c r="W24" s="85" t="str">
        <f aca="false">IF(AND($G24&lt;=W$7+6,$H24&gt;=W$7),"■","")</f>
        <v>■</v>
      </c>
      <c r="X24" s="85" t="str">
        <f aca="false">IF(AND($G24&lt;=X$7+6,$H24&gt;=X$7),"■","")</f>
        <v/>
      </c>
      <c r="Y24" s="85" t="str">
        <f aca="false">IF(AND($G24&lt;=Y$7+6,$H24&gt;=Y$7),"■","")</f>
        <v/>
      </c>
      <c r="Z24" s="85" t="str">
        <f aca="false">IF(AND($G24&lt;=Z$7+6,$H24&gt;=Z$7),"■","")</f>
        <v/>
      </c>
      <c r="AA24" s="85" t="str">
        <f aca="false">IF(AND($G24&lt;=AA$7+6,$H24&gt;=AA$7),"■","")</f>
        <v/>
      </c>
      <c r="AB24" s="85" t="str">
        <f aca="false">IF(AND($G24&lt;=AB$7+6,$H24&gt;=AB$7),"■","")</f>
        <v/>
      </c>
      <c r="AC24" s="85" t="str">
        <f aca="false">IF(AND($G24&lt;=AC$7+6,$H24&gt;=AC$7),"■","")</f>
        <v/>
      </c>
      <c r="AD24" s="85" t="str">
        <f aca="false">IF(AND($G24&lt;=AD$7+6,$H24&gt;=AD$7),"■","")</f>
        <v/>
      </c>
      <c r="AE24" s="85" t="str">
        <f aca="false">IF(AND($G24&lt;=AE$7+6,$H24&gt;=AE$7),"■","")</f>
        <v/>
      </c>
      <c r="AG24" s="77"/>
      <c r="AH24" s="78"/>
    </row>
    <row r="25" customFormat="false" ht="39.75" hidden="false" customHeight="true" outlineLevel="0" collapsed="false">
      <c r="A25" s="71" t="s">
        <v>210</v>
      </c>
      <c r="B25" s="72" t="s">
        <v>211</v>
      </c>
      <c r="C25" s="73" t="s">
        <v>30</v>
      </c>
      <c r="D25" s="74" t="s">
        <v>124</v>
      </c>
      <c r="E25" s="74" t="s">
        <v>212</v>
      </c>
      <c r="F25" s="74" t="s">
        <v>213</v>
      </c>
      <c r="G25" s="75" t="n">
        <f aca="false">WORKDAY($B$4-1,48,$AG$9:$AG$40)</f>
        <v>46405</v>
      </c>
      <c r="H25" s="75" t="n">
        <f aca="false">WORKDAY($B$4-1,54,$AG$9:$AG$40)</f>
        <v>46413</v>
      </c>
      <c r="I25" s="75" t="n">
        <f aca="false">WORKDAY($B$4-1,54,$AG$9:$AG$40)</f>
        <v>46413</v>
      </c>
      <c r="J25" s="72" t="s">
        <v>204</v>
      </c>
      <c r="K25" s="72" t="s">
        <v>32</v>
      </c>
      <c r="L25" s="72" t="n">
        <f aca="false">NETWORKDAYS(G25,H25,$AG$9:$AG$40)</f>
        <v>7</v>
      </c>
      <c r="M25" s="76" t="str">
        <f aca="false">IF(AND($G25&lt;=M$7+6,$H25&gt;=M$7),"■","")</f>
        <v/>
      </c>
      <c r="N25" s="76" t="str">
        <f aca="false">IF(AND($G25&lt;=N$7+6,$H25&gt;=N$7),"■","")</f>
        <v/>
      </c>
      <c r="O25" s="76" t="str">
        <f aca="false">IF(AND($G25&lt;=O$7+6,$H25&gt;=O$7),"■","")</f>
        <v/>
      </c>
      <c r="P25" s="76" t="str">
        <f aca="false">IF(AND($G25&lt;=P$7+6,$H25&gt;=P$7),"■","")</f>
        <v/>
      </c>
      <c r="Q25" s="76" t="str">
        <f aca="false">IF(AND($G25&lt;=Q$7+6,$H25&gt;=Q$7),"■","")</f>
        <v/>
      </c>
      <c r="R25" s="76" t="str">
        <f aca="false">IF(AND($G25&lt;=R$7+6,$H25&gt;=R$7),"■","")</f>
        <v/>
      </c>
      <c r="S25" s="76" t="str">
        <f aca="false">IF(AND($G25&lt;=S$7+6,$H25&gt;=S$7),"■","")</f>
        <v/>
      </c>
      <c r="T25" s="76" t="str">
        <f aca="false">IF(AND($G25&lt;=T$7+6,$H25&gt;=T$7),"■","")</f>
        <v/>
      </c>
      <c r="U25" s="76" t="str">
        <f aca="false">IF(AND($G25&lt;=U$7+6,$H25&gt;=U$7),"■","")</f>
        <v/>
      </c>
      <c r="V25" s="76" t="str">
        <f aca="false">IF(AND($G25&lt;=V$7+6,$H25&gt;=V$7),"■","")</f>
        <v/>
      </c>
      <c r="W25" s="76" t="str">
        <f aca="false">IF(AND($G25&lt;=W$7+6,$H25&gt;=W$7),"■","")</f>
        <v/>
      </c>
      <c r="X25" s="76" t="str">
        <f aca="false">IF(AND($G25&lt;=X$7+6,$H25&gt;=X$7),"■","")</f>
        <v>■</v>
      </c>
      <c r="Y25" s="76" t="str">
        <f aca="false">IF(AND($G25&lt;=Y$7+6,$H25&gt;=Y$7),"■","")</f>
        <v>■</v>
      </c>
      <c r="Z25" s="76" t="str">
        <f aca="false">IF(AND($G25&lt;=Z$7+6,$H25&gt;=Z$7),"■","")</f>
        <v/>
      </c>
      <c r="AA25" s="76" t="str">
        <f aca="false">IF(AND($G25&lt;=AA$7+6,$H25&gt;=AA$7),"■","")</f>
        <v/>
      </c>
      <c r="AB25" s="76" t="str">
        <f aca="false">IF(AND($G25&lt;=AB$7+6,$H25&gt;=AB$7),"■","")</f>
        <v/>
      </c>
      <c r="AC25" s="76" t="str">
        <f aca="false">IF(AND($G25&lt;=AC$7+6,$H25&gt;=AC$7),"■","")</f>
        <v/>
      </c>
      <c r="AD25" s="76" t="str">
        <f aca="false">IF(AND($G25&lt;=AD$7+6,$H25&gt;=AD$7),"■","")</f>
        <v/>
      </c>
      <c r="AE25" s="76" t="str">
        <f aca="false">IF(AND($G25&lt;=AE$7+6,$H25&gt;=AE$7),"■","")</f>
        <v/>
      </c>
      <c r="AG25" s="77"/>
      <c r="AH25" s="78"/>
    </row>
    <row r="26" customFormat="false" ht="39.75" hidden="false" customHeight="true" outlineLevel="0" collapsed="false">
      <c r="A26" s="79" t="s">
        <v>214</v>
      </c>
      <c r="B26" s="80" t="s">
        <v>205</v>
      </c>
      <c r="C26" s="81" t="s">
        <v>215</v>
      </c>
      <c r="D26" s="82" t="s">
        <v>207</v>
      </c>
      <c r="E26" s="83" t="s">
        <v>126</v>
      </c>
      <c r="F26" s="86" t="s">
        <v>216</v>
      </c>
      <c r="G26" s="75" t="n">
        <f aca="false">WORKDAY($B$4-1,55,$AG$9:$AG$40)</f>
        <v>46414</v>
      </c>
      <c r="H26" s="75" t="n">
        <f aca="false">WORKDAY($B$4-1,59,$AG$9:$AG$40)</f>
        <v>46420</v>
      </c>
      <c r="I26" s="75" t="s">
        <v>126</v>
      </c>
      <c r="J26" s="84" t="s">
        <v>217</v>
      </c>
      <c r="K26" s="80" t="s">
        <v>32</v>
      </c>
      <c r="L26" s="80" t="n">
        <f aca="false">NETWORKDAYS(G26,H26,$AG$9:$AG$40)</f>
        <v>5</v>
      </c>
      <c r="M26" s="85" t="str">
        <f aca="false">IF(AND($G26&lt;=M$7+6,$H26&gt;=M$7),"■","")</f>
        <v/>
      </c>
      <c r="N26" s="85" t="str">
        <f aca="false">IF(AND($G26&lt;=N$7+6,$H26&gt;=N$7),"■","")</f>
        <v/>
      </c>
      <c r="O26" s="85" t="str">
        <f aca="false">IF(AND($G26&lt;=O$7+6,$H26&gt;=O$7),"■","")</f>
        <v/>
      </c>
      <c r="P26" s="85" t="str">
        <f aca="false">IF(AND($G26&lt;=P$7+6,$H26&gt;=P$7),"■","")</f>
        <v/>
      </c>
      <c r="Q26" s="85" t="str">
        <f aca="false">IF(AND($G26&lt;=Q$7+6,$H26&gt;=Q$7),"■","")</f>
        <v/>
      </c>
      <c r="R26" s="85" t="str">
        <f aca="false">IF(AND($G26&lt;=R$7+6,$H26&gt;=R$7),"■","")</f>
        <v/>
      </c>
      <c r="S26" s="85" t="str">
        <f aca="false">IF(AND($G26&lt;=S$7+6,$H26&gt;=S$7),"■","")</f>
        <v/>
      </c>
      <c r="T26" s="85" t="str">
        <f aca="false">IF(AND($G26&lt;=T$7+6,$H26&gt;=T$7),"■","")</f>
        <v/>
      </c>
      <c r="U26" s="85" t="str">
        <f aca="false">IF(AND($G26&lt;=U$7+6,$H26&gt;=U$7),"■","")</f>
        <v/>
      </c>
      <c r="V26" s="85" t="str">
        <f aca="false">IF(AND($G26&lt;=V$7+6,$H26&gt;=V$7),"■","")</f>
        <v/>
      </c>
      <c r="W26" s="85" t="str">
        <f aca="false">IF(AND($G26&lt;=W$7+6,$H26&gt;=W$7),"■","")</f>
        <v/>
      </c>
      <c r="X26" s="85" t="str">
        <f aca="false">IF(AND($G26&lt;=X$7+6,$H26&gt;=X$7),"■","")</f>
        <v/>
      </c>
      <c r="Y26" s="85" t="str">
        <f aca="false">IF(AND($G26&lt;=Y$7+6,$H26&gt;=Y$7),"■","")</f>
        <v>■</v>
      </c>
      <c r="Z26" s="85" t="str">
        <f aca="false">IF(AND($G26&lt;=Z$7+6,$H26&gt;=Z$7),"■","")</f>
        <v>■</v>
      </c>
      <c r="AA26" s="85" t="str">
        <f aca="false">IF(AND($G26&lt;=AA$7+6,$H26&gt;=AA$7),"■","")</f>
        <v/>
      </c>
      <c r="AB26" s="85" t="str">
        <f aca="false">IF(AND($G26&lt;=AB$7+6,$H26&gt;=AB$7),"■","")</f>
        <v/>
      </c>
      <c r="AC26" s="85" t="str">
        <f aca="false">IF(AND($G26&lt;=AC$7+6,$H26&gt;=AC$7),"■","")</f>
        <v/>
      </c>
      <c r="AD26" s="85" t="str">
        <f aca="false">IF(AND($G26&lt;=AD$7+6,$H26&gt;=AD$7),"■","")</f>
        <v/>
      </c>
      <c r="AE26" s="85" t="str">
        <f aca="false">IF(AND($G26&lt;=AE$7+6,$H26&gt;=AE$7),"■","")</f>
        <v/>
      </c>
      <c r="AG26" s="77"/>
      <c r="AH26" s="78"/>
    </row>
    <row r="27" customFormat="false" ht="39.75" hidden="false" customHeight="true" outlineLevel="0" collapsed="false">
      <c r="A27" s="71" t="s">
        <v>218</v>
      </c>
      <c r="B27" s="72" t="s">
        <v>219</v>
      </c>
      <c r="C27" s="73" t="s">
        <v>220</v>
      </c>
      <c r="D27" s="74" t="s">
        <v>221</v>
      </c>
      <c r="E27" s="74" t="s">
        <v>126</v>
      </c>
      <c r="F27" s="74" t="s">
        <v>222</v>
      </c>
      <c r="G27" s="75" t="n">
        <f aca="false">WORKDAY($B$4-1,60,$AG$9:$AG$40)</f>
        <v>46421</v>
      </c>
      <c r="H27" s="75" t="n">
        <f aca="false">WORKDAY($B$4-1,67,$AG$9:$AG$40)</f>
        <v>46433</v>
      </c>
      <c r="I27" s="75" t="s">
        <v>126</v>
      </c>
      <c r="J27" s="72" t="s">
        <v>214</v>
      </c>
      <c r="K27" s="72" t="s">
        <v>32</v>
      </c>
      <c r="L27" s="72" t="n">
        <f aca="false">NETWORKDAYS(G27,H27,$AG$9:$AG$40)</f>
        <v>8</v>
      </c>
      <c r="M27" s="76" t="str">
        <f aca="false">IF(AND($G27&lt;=M$7+6,$H27&gt;=M$7),"■","")</f>
        <v/>
      </c>
      <c r="N27" s="76" t="str">
        <f aca="false">IF(AND($G27&lt;=N$7+6,$H27&gt;=N$7),"■","")</f>
        <v/>
      </c>
      <c r="O27" s="76" t="str">
        <f aca="false">IF(AND($G27&lt;=O$7+6,$H27&gt;=O$7),"■","")</f>
        <v/>
      </c>
      <c r="P27" s="76" t="str">
        <f aca="false">IF(AND($G27&lt;=P$7+6,$H27&gt;=P$7),"■","")</f>
        <v/>
      </c>
      <c r="Q27" s="76" t="str">
        <f aca="false">IF(AND($G27&lt;=Q$7+6,$H27&gt;=Q$7),"■","")</f>
        <v/>
      </c>
      <c r="R27" s="76" t="str">
        <f aca="false">IF(AND($G27&lt;=R$7+6,$H27&gt;=R$7),"■","")</f>
        <v/>
      </c>
      <c r="S27" s="76" t="str">
        <f aca="false">IF(AND($G27&lt;=S$7+6,$H27&gt;=S$7),"■","")</f>
        <v/>
      </c>
      <c r="T27" s="76" t="str">
        <f aca="false">IF(AND($G27&lt;=T$7+6,$H27&gt;=T$7),"■","")</f>
        <v/>
      </c>
      <c r="U27" s="76" t="str">
        <f aca="false">IF(AND($G27&lt;=U$7+6,$H27&gt;=U$7),"■","")</f>
        <v/>
      </c>
      <c r="V27" s="76" t="str">
        <f aca="false">IF(AND($G27&lt;=V$7+6,$H27&gt;=V$7),"■","")</f>
        <v/>
      </c>
      <c r="W27" s="76" t="str">
        <f aca="false">IF(AND($G27&lt;=W$7+6,$H27&gt;=W$7),"■","")</f>
        <v/>
      </c>
      <c r="X27" s="76" t="str">
        <f aca="false">IF(AND($G27&lt;=X$7+6,$H27&gt;=X$7),"■","")</f>
        <v/>
      </c>
      <c r="Y27" s="76" t="str">
        <f aca="false">IF(AND($G27&lt;=Y$7+6,$H27&gt;=Y$7),"■","")</f>
        <v/>
      </c>
      <c r="Z27" s="76" t="str">
        <f aca="false">IF(AND($G27&lt;=Z$7+6,$H27&gt;=Z$7),"■","")</f>
        <v>■</v>
      </c>
      <c r="AA27" s="76" t="str">
        <f aca="false">IF(AND($G27&lt;=AA$7+6,$H27&gt;=AA$7),"■","")</f>
        <v>■</v>
      </c>
      <c r="AB27" s="76" t="str">
        <f aca="false">IF(AND($G27&lt;=AB$7+6,$H27&gt;=AB$7),"■","")</f>
        <v>■</v>
      </c>
      <c r="AC27" s="76" t="str">
        <f aca="false">IF(AND($G27&lt;=AC$7+6,$H27&gt;=AC$7),"■","")</f>
        <v/>
      </c>
      <c r="AD27" s="76" t="str">
        <f aca="false">IF(AND($G27&lt;=AD$7+6,$H27&gt;=AD$7),"■","")</f>
        <v/>
      </c>
      <c r="AE27" s="76" t="str">
        <f aca="false">IF(AND($G27&lt;=AE$7+6,$H27&gt;=AE$7),"■","")</f>
        <v/>
      </c>
      <c r="AG27" s="77"/>
      <c r="AH27" s="78"/>
    </row>
    <row r="28" customFormat="false" ht="39.75" hidden="false" customHeight="true" outlineLevel="0" collapsed="false">
      <c r="A28" s="79" t="s">
        <v>223</v>
      </c>
      <c r="B28" s="80" t="s">
        <v>224</v>
      </c>
      <c r="C28" s="81" t="s">
        <v>225</v>
      </c>
      <c r="D28" s="82" t="s">
        <v>226</v>
      </c>
      <c r="E28" s="83" t="s">
        <v>126</v>
      </c>
      <c r="F28" s="86" t="s">
        <v>227</v>
      </c>
      <c r="G28" s="75" t="n">
        <f aca="false">WORKDAY($B$4-1,68,$AG$9:$AG$40)</f>
        <v>46434</v>
      </c>
      <c r="H28" s="75" t="n">
        <f aca="false">WORKDAY($B$4-1,70,$AG$9:$AG$40)</f>
        <v>46436</v>
      </c>
      <c r="I28" s="75" t="s">
        <v>126</v>
      </c>
      <c r="J28" s="84" t="s">
        <v>218</v>
      </c>
      <c r="K28" s="80" t="s">
        <v>32</v>
      </c>
      <c r="L28" s="80" t="n">
        <f aca="false">NETWORKDAYS(G28,H28,$AG$9:$AG$40)</f>
        <v>3</v>
      </c>
      <c r="M28" s="85" t="str">
        <f aca="false">IF(AND($G28&lt;=M$7+6,$H28&gt;=M$7),"■","")</f>
        <v/>
      </c>
      <c r="N28" s="85" t="str">
        <f aca="false">IF(AND($G28&lt;=N$7+6,$H28&gt;=N$7),"■","")</f>
        <v/>
      </c>
      <c r="O28" s="85" t="str">
        <f aca="false">IF(AND($G28&lt;=O$7+6,$H28&gt;=O$7),"■","")</f>
        <v/>
      </c>
      <c r="P28" s="85" t="str">
        <f aca="false">IF(AND($G28&lt;=P$7+6,$H28&gt;=P$7),"■","")</f>
        <v/>
      </c>
      <c r="Q28" s="85" t="str">
        <f aca="false">IF(AND($G28&lt;=Q$7+6,$H28&gt;=Q$7),"■","")</f>
        <v/>
      </c>
      <c r="R28" s="85" t="str">
        <f aca="false">IF(AND($G28&lt;=R$7+6,$H28&gt;=R$7),"■","")</f>
        <v/>
      </c>
      <c r="S28" s="85" t="str">
        <f aca="false">IF(AND($G28&lt;=S$7+6,$H28&gt;=S$7),"■","")</f>
        <v/>
      </c>
      <c r="T28" s="85" t="str">
        <f aca="false">IF(AND($G28&lt;=T$7+6,$H28&gt;=T$7),"■","")</f>
        <v/>
      </c>
      <c r="U28" s="85" t="str">
        <f aca="false">IF(AND($G28&lt;=U$7+6,$H28&gt;=U$7),"■","")</f>
        <v/>
      </c>
      <c r="V28" s="85" t="str">
        <f aca="false">IF(AND($G28&lt;=V$7+6,$H28&gt;=V$7),"■","")</f>
        <v/>
      </c>
      <c r="W28" s="85" t="str">
        <f aca="false">IF(AND($G28&lt;=W$7+6,$H28&gt;=W$7),"■","")</f>
        <v/>
      </c>
      <c r="X28" s="85" t="str">
        <f aca="false">IF(AND($G28&lt;=X$7+6,$H28&gt;=X$7),"■","")</f>
        <v/>
      </c>
      <c r="Y28" s="85" t="str">
        <f aca="false">IF(AND($G28&lt;=Y$7+6,$H28&gt;=Y$7),"■","")</f>
        <v/>
      </c>
      <c r="Z28" s="85" t="str">
        <f aca="false">IF(AND($G28&lt;=Z$7+6,$H28&gt;=Z$7),"■","")</f>
        <v/>
      </c>
      <c r="AA28" s="85" t="str">
        <f aca="false">IF(AND($G28&lt;=AA$7+6,$H28&gt;=AA$7),"■","")</f>
        <v/>
      </c>
      <c r="AB28" s="85" t="str">
        <f aca="false">IF(AND($G28&lt;=AB$7+6,$H28&gt;=AB$7),"■","")</f>
        <v>■</v>
      </c>
      <c r="AC28" s="85" t="str">
        <f aca="false">IF(AND($G28&lt;=AC$7+6,$H28&gt;=AC$7),"■","")</f>
        <v/>
      </c>
      <c r="AD28" s="85" t="str">
        <f aca="false">IF(AND($G28&lt;=AD$7+6,$H28&gt;=AD$7),"■","")</f>
        <v/>
      </c>
      <c r="AE28" s="85" t="str">
        <f aca="false">IF(AND($G28&lt;=AE$7+6,$H28&gt;=AE$7),"■","")</f>
        <v/>
      </c>
      <c r="AG28" s="77"/>
      <c r="AH28" s="78"/>
    </row>
    <row r="29" customFormat="false" ht="39.75" hidden="false" customHeight="true" outlineLevel="0" collapsed="false">
      <c r="A29" s="71" t="s">
        <v>228</v>
      </c>
      <c r="B29" s="72" t="s">
        <v>229</v>
      </c>
      <c r="C29" s="73" t="s">
        <v>33</v>
      </c>
      <c r="D29" s="74" t="s">
        <v>124</v>
      </c>
      <c r="E29" s="74" t="s">
        <v>136</v>
      </c>
      <c r="F29" s="74" t="s">
        <v>230</v>
      </c>
      <c r="G29" s="75" t="n">
        <f aca="false">WORKDAY($B$4-1,71,$AG$9:$AG$40)</f>
        <v>46437</v>
      </c>
      <c r="H29" s="75" t="n">
        <f aca="false">WORKDAY($B$4-1,77,$AG$9:$AG$40)</f>
        <v>46448</v>
      </c>
      <c r="I29" s="75" t="n">
        <f aca="false">WORKDAY($B$4-1,77,$AG$9:$AG$40)</f>
        <v>46448</v>
      </c>
      <c r="J29" s="72" t="s">
        <v>223</v>
      </c>
      <c r="K29" s="72" t="s">
        <v>32</v>
      </c>
      <c r="L29" s="72" t="n">
        <f aca="false">NETWORKDAYS(G29,H29,$AG$9:$AG$40)</f>
        <v>7</v>
      </c>
      <c r="M29" s="76" t="str">
        <f aca="false">IF(AND($G29&lt;=M$7+6,$H29&gt;=M$7),"■","")</f>
        <v/>
      </c>
      <c r="N29" s="76" t="str">
        <f aca="false">IF(AND($G29&lt;=N$7+6,$H29&gt;=N$7),"■","")</f>
        <v/>
      </c>
      <c r="O29" s="76" t="str">
        <f aca="false">IF(AND($G29&lt;=O$7+6,$H29&gt;=O$7),"■","")</f>
        <v/>
      </c>
      <c r="P29" s="76" t="str">
        <f aca="false">IF(AND($G29&lt;=P$7+6,$H29&gt;=P$7),"■","")</f>
        <v/>
      </c>
      <c r="Q29" s="76" t="str">
        <f aca="false">IF(AND($G29&lt;=Q$7+6,$H29&gt;=Q$7),"■","")</f>
        <v/>
      </c>
      <c r="R29" s="76" t="str">
        <f aca="false">IF(AND($G29&lt;=R$7+6,$H29&gt;=R$7),"■","")</f>
        <v/>
      </c>
      <c r="S29" s="76" t="str">
        <f aca="false">IF(AND($G29&lt;=S$7+6,$H29&gt;=S$7),"■","")</f>
        <v/>
      </c>
      <c r="T29" s="76" t="str">
        <f aca="false">IF(AND($G29&lt;=T$7+6,$H29&gt;=T$7),"■","")</f>
        <v/>
      </c>
      <c r="U29" s="76" t="str">
        <f aca="false">IF(AND($G29&lt;=U$7+6,$H29&gt;=U$7),"■","")</f>
        <v/>
      </c>
      <c r="V29" s="76" t="str">
        <f aca="false">IF(AND($G29&lt;=V$7+6,$H29&gt;=V$7),"■","")</f>
        <v/>
      </c>
      <c r="W29" s="76" t="str">
        <f aca="false">IF(AND($G29&lt;=W$7+6,$H29&gt;=W$7),"■","")</f>
        <v/>
      </c>
      <c r="X29" s="76" t="str">
        <f aca="false">IF(AND($G29&lt;=X$7+6,$H29&gt;=X$7),"■","")</f>
        <v/>
      </c>
      <c r="Y29" s="76" t="str">
        <f aca="false">IF(AND($G29&lt;=Y$7+6,$H29&gt;=Y$7),"■","")</f>
        <v/>
      </c>
      <c r="Z29" s="76" t="str">
        <f aca="false">IF(AND($G29&lt;=Z$7+6,$H29&gt;=Z$7),"■","")</f>
        <v/>
      </c>
      <c r="AA29" s="76" t="str">
        <f aca="false">IF(AND($G29&lt;=AA$7+6,$H29&gt;=AA$7),"■","")</f>
        <v/>
      </c>
      <c r="AB29" s="76" t="str">
        <f aca="false">IF(AND($G29&lt;=AB$7+6,$H29&gt;=AB$7),"■","")</f>
        <v>■</v>
      </c>
      <c r="AC29" s="76" t="str">
        <f aca="false">IF(AND($G29&lt;=AC$7+6,$H29&gt;=AC$7),"■","")</f>
        <v>■</v>
      </c>
      <c r="AD29" s="76" t="str">
        <f aca="false">IF(AND($G29&lt;=AD$7+6,$H29&gt;=AD$7),"■","")</f>
        <v>■</v>
      </c>
      <c r="AE29" s="76" t="str">
        <f aca="false">IF(AND($G29&lt;=AE$7+6,$H29&gt;=AE$7),"■","")</f>
        <v/>
      </c>
      <c r="AG29" s="77"/>
      <c r="AH29" s="78"/>
    </row>
    <row r="30" customFormat="false" ht="39.75" hidden="false" customHeight="true" outlineLevel="0" collapsed="false">
      <c r="A30" s="79" t="s">
        <v>231</v>
      </c>
      <c r="B30" s="80" t="s">
        <v>232</v>
      </c>
      <c r="C30" s="81" t="s">
        <v>233</v>
      </c>
      <c r="D30" s="82" t="s">
        <v>221</v>
      </c>
      <c r="E30" s="83" t="s">
        <v>126</v>
      </c>
      <c r="F30" s="86" t="s">
        <v>234</v>
      </c>
      <c r="G30" s="75" t="n">
        <f aca="false">WORKDAY($B$4-1,78,$AG$9:$AG$40)</f>
        <v>46449</v>
      </c>
      <c r="H30" s="75" t="n">
        <f aca="false">WORKDAY($B$4-1,79,$AG$9:$AG$40)</f>
        <v>46450</v>
      </c>
      <c r="I30" s="75" t="s">
        <v>126</v>
      </c>
      <c r="J30" s="84" t="s">
        <v>228</v>
      </c>
      <c r="K30" s="80" t="s">
        <v>32</v>
      </c>
      <c r="L30" s="80" t="n">
        <f aca="false">NETWORKDAYS(G30,H30,$AG$9:$AG$40)</f>
        <v>2</v>
      </c>
      <c r="M30" s="85" t="str">
        <f aca="false">IF(AND($G30&lt;=M$7+6,$H30&gt;=M$7),"■","")</f>
        <v/>
      </c>
      <c r="N30" s="85" t="str">
        <f aca="false">IF(AND($G30&lt;=N$7+6,$H30&gt;=N$7),"■","")</f>
        <v/>
      </c>
      <c r="O30" s="85" t="str">
        <f aca="false">IF(AND($G30&lt;=O$7+6,$H30&gt;=O$7),"■","")</f>
        <v/>
      </c>
      <c r="P30" s="85" t="str">
        <f aca="false">IF(AND($G30&lt;=P$7+6,$H30&gt;=P$7),"■","")</f>
        <v/>
      </c>
      <c r="Q30" s="85" t="str">
        <f aca="false">IF(AND($G30&lt;=Q$7+6,$H30&gt;=Q$7),"■","")</f>
        <v/>
      </c>
      <c r="R30" s="85" t="str">
        <f aca="false">IF(AND($G30&lt;=R$7+6,$H30&gt;=R$7),"■","")</f>
        <v/>
      </c>
      <c r="S30" s="85" t="str">
        <f aca="false">IF(AND($G30&lt;=S$7+6,$H30&gt;=S$7),"■","")</f>
        <v/>
      </c>
      <c r="T30" s="85" t="str">
        <f aca="false">IF(AND($G30&lt;=T$7+6,$H30&gt;=T$7),"■","")</f>
        <v/>
      </c>
      <c r="U30" s="85" t="str">
        <f aca="false">IF(AND($G30&lt;=U$7+6,$H30&gt;=U$7),"■","")</f>
        <v/>
      </c>
      <c r="V30" s="85" t="str">
        <f aca="false">IF(AND($G30&lt;=V$7+6,$H30&gt;=V$7),"■","")</f>
        <v/>
      </c>
      <c r="W30" s="85" t="str">
        <f aca="false">IF(AND($G30&lt;=W$7+6,$H30&gt;=W$7),"■","")</f>
        <v/>
      </c>
      <c r="X30" s="85" t="str">
        <f aca="false">IF(AND($G30&lt;=X$7+6,$H30&gt;=X$7),"■","")</f>
        <v/>
      </c>
      <c r="Y30" s="85" t="str">
        <f aca="false">IF(AND($G30&lt;=Y$7+6,$H30&gt;=Y$7),"■","")</f>
        <v/>
      </c>
      <c r="Z30" s="85" t="str">
        <f aca="false">IF(AND($G30&lt;=Z$7+6,$H30&gt;=Z$7),"■","")</f>
        <v/>
      </c>
      <c r="AA30" s="85" t="str">
        <f aca="false">IF(AND($G30&lt;=AA$7+6,$H30&gt;=AA$7),"■","")</f>
        <v/>
      </c>
      <c r="AB30" s="85" t="str">
        <f aca="false">IF(AND($G30&lt;=AB$7+6,$H30&gt;=AB$7),"■","")</f>
        <v/>
      </c>
      <c r="AC30" s="85" t="str">
        <f aca="false">IF(AND($G30&lt;=AC$7+6,$H30&gt;=AC$7),"■","")</f>
        <v/>
      </c>
      <c r="AD30" s="85" t="str">
        <f aca="false">IF(AND($G30&lt;=AD$7+6,$H30&gt;=AD$7),"■","")</f>
        <v>■</v>
      </c>
      <c r="AE30" s="85" t="str">
        <f aca="false">IF(AND($G30&lt;=AE$7+6,$H30&gt;=AE$7),"■","")</f>
        <v/>
      </c>
      <c r="AG30" s="77"/>
      <c r="AH30" s="78"/>
    </row>
    <row r="31" customFormat="false" ht="39.75" hidden="false" customHeight="true" outlineLevel="0" collapsed="false">
      <c r="A31" s="71" t="s">
        <v>235</v>
      </c>
      <c r="B31" s="72" t="s">
        <v>36</v>
      </c>
      <c r="C31" s="73" t="s">
        <v>236</v>
      </c>
      <c r="D31" s="74" t="s">
        <v>221</v>
      </c>
      <c r="E31" s="74" t="s">
        <v>124</v>
      </c>
      <c r="F31" s="74" t="s">
        <v>237</v>
      </c>
      <c r="G31" s="75" t="n">
        <f aca="false">WORKDAY($B$4-1,80,$AG$9:$AG$40)</f>
        <v>46451</v>
      </c>
      <c r="H31" s="75" t="n">
        <f aca="false">WORKDAY($B$4-1,80,$AG$9:$AG$40)</f>
        <v>46451</v>
      </c>
      <c r="I31" s="75" t="s">
        <v>126</v>
      </c>
      <c r="J31" s="72" t="s">
        <v>231</v>
      </c>
      <c r="K31" s="72" t="s">
        <v>32</v>
      </c>
      <c r="L31" s="72" t="n">
        <f aca="false">NETWORKDAYS(G31,H31,$AG$9:$AG$40)</f>
        <v>1</v>
      </c>
      <c r="M31" s="76" t="str">
        <f aca="false">IF(AND($G31&lt;=M$7+6,$H31&gt;=M$7),"■","")</f>
        <v/>
      </c>
      <c r="N31" s="76" t="str">
        <f aca="false">IF(AND($G31&lt;=N$7+6,$H31&gt;=N$7),"■","")</f>
        <v/>
      </c>
      <c r="O31" s="76" t="str">
        <f aca="false">IF(AND($G31&lt;=O$7+6,$H31&gt;=O$7),"■","")</f>
        <v/>
      </c>
      <c r="P31" s="76" t="str">
        <f aca="false">IF(AND($G31&lt;=P$7+6,$H31&gt;=P$7),"■","")</f>
        <v/>
      </c>
      <c r="Q31" s="76" t="str">
        <f aca="false">IF(AND($G31&lt;=Q$7+6,$H31&gt;=Q$7),"■","")</f>
        <v/>
      </c>
      <c r="R31" s="76" t="str">
        <f aca="false">IF(AND($G31&lt;=R$7+6,$H31&gt;=R$7),"■","")</f>
        <v/>
      </c>
      <c r="S31" s="76" t="str">
        <f aca="false">IF(AND($G31&lt;=S$7+6,$H31&gt;=S$7),"■","")</f>
        <v/>
      </c>
      <c r="T31" s="76" t="str">
        <f aca="false">IF(AND($G31&lt;=T$7+6,$H31&gt;=T$7),"■","")</f>
        <v/>
      </c>
      <c r="U31" s="76" t="str">
        <f aca="false">IF(AND($G31&lt;=U$7+6,$H31&gt;=U$7),"■","")</f>
        <v/>
      </c>
      <c r="V31" s="76" t="str">
        <f aca="false">IF(AND($G31&lt;=V$7+6,$H31&gt;=V$7),"■","")</f>
        <v/>
      </c>
      <c r="W31" s="76" t="str">
        <f aca="false">IF(AND($G31&lt;=W$7+6,$H31&gt;=W$7),"■","")</f>
        <v/>
      </c>
      <c r="X31" s="76" t="str">
        <f aca="false">IF(AND($G31&lt;=X$7+6,$H31&gt;=X$7),"■","")</f>
        <v/>
      </c>
      <c r="Y31" s="76" t="str">
        <f aca="false">IF(AND($G31&lt;=Y$7+6,$H31&gt;=Y$7),"■","")</f>
        <v/>
      </c>
      <c r="Z31" s="76" t="str">
        <f aca="false">IF(AND($G31&lt;=Z$7+6,$H31&gt;=Z$7),"■","")</f>
        <v/>
      </c>
      <c r="AA31" s="76" t="str">
        <f aca="false">IF(AND($G31&lt;=AA$7+6,$H31&gt;=AA$7),"■","")</f>
        <v/>
      </c>
      <c r="AB31" s="76" t="str">
        <f aca="false">IF(AND($G31&lt;=AB$7+6,$H31&gt;=AB$7),"■","")</f>
        <v/>
      </c>
      <c r="AC31" s="76" t="str">
        <f aca="false">IF(AND($G31&lt;=AC$7+6,$H31&gt;=AC$7),"■","")</f>
        <v/>
      </c>
      <c r="AD31" s="76" t="str">
        <f aca="false">IF(AND($G31&lt;=AD$7+6,$H31&gt;=AD$7),"■","")</f>
        <v>■</v>
      </c>
      <c r="AE31" s="76" t="str">
        <f aca="false">IF(AND($G31&lt;=AE$7+6,$H31&gt;=AE$7),"■","")</f>
        <v/>
      </c>
      <c r="AG31" s="77"/>
      <c r="AH31" s="78"/>
    </row>
  </sheetData>
  <mergeCells count="2">
    <mergeCell ref="A5:AE5"/>
    <mergeCell ref="A6:AE6"/>
  </mergeCells>
  <conditionalFormatting sqref="M9:AE31">
    <cfRule type="expression" priority="2" aboveAverage="0" equalAverage="0" bottom="0" percent="0" rank="0" text="" dxfId="16">
      <formula>AND(M9="■",OR($D9="総務窓口",$D9="工場長",$D9="代表",$D9="営業・生産管理"))</formula>
    </cfRule>
    <cfRule type="expression" priority="3" aboveAverage="0" equalAverage="0" bottom="0" percent="0" rank="0" text="" dxfId="17">
      <formula>AND(M9="■",$B9="取材撮影")</formula>
    </cfRule>
    <cfRule type="expression" priority="4" aboveAverage="0" equalAverage="0" bottom="0" percent="0" rank="0" text="" dxfId="18">
      <formula>M9="■"</formula>
    </cfRule>
  </conditionalFormatting>
  <conditionalFormatting sqref="K9:K31">
    <cfRule type="cellIs" priority="5" operator="equal" aboveAverage="0" equalAverage="0" bottom="0" percent="0" rank="0" text="" dxfId="9">
      <formula>"未着手"</formula>
    </cfRule>
    <cfRule type="cellIs" priority="6" operator="equal" aboveAverage="0" equalAverage="0" bottom="0" percent="0" rank="0" text="" dxfId="10">
      <formula>"進行中"</formula>
    </cfRule>
    <cfRule type="cellIs" priority="7" operator="equal" aboveAverage="0" equalAverage="0" bottom="0" percent="0" rank="0" text="" dxfId="11">
      <formula>"確認待ち"</formula>
    </cfRule>
    <cfRule type="cellIs" priority="8" operator="equal" aboveAverage="0" equalAverage="0" bottom="0" percent="0" rank="0" text="" dxfId="12">
      <formula>"完了"</formula>
    </cfRule>
    <cfRule type="cellIs" priority="9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K9:K31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M3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.5"/>
    <col collapsed="false" customWidth="true" hidden="false" outlineLevel="0" max="2" min="2" style="1" width="26.88"/>
    <col collapsed="false" customWidth="true" hidden="false" outlineLevel="0" max="3" min="3" style="1" width="21.25"/>
    <col collapsed="false" customWidth="true" hidden="false" outlineLevel="0" max="4" min="4" style="1" width="23.13"/>
    <col collapsed="false" customWidth="true" hidden="false" outlineLevel="0" max="5" min="5" style="1" width="12.5"/>
    <col collapsed="false" customWidth="true" hidden="false" outlineLevel="0" max="6" min="6" style="1" width="29.38"/>
    <col collapsed="false" customWidth="true" hidden="false" outlineLevel="0" max="7" min="7" style="1" width="19.38"/>
    <col collapsed="false" customWidth="true" hidden="false" outlineLevel="0" max="8" min="8" style="1" width="18.75"/>
    <col collapsed="false" customWidth="true" hidden="false" outlineLevel="0" max="9" min="9" style="1" width="10"/>
    <col collapsed="false" customWidth="true" hidden="false" outlineLevel="0" max="10" min="10" style="1" width="23.75"/>
    <col collapsed="false" customWidth="true" hidden="false" outlineLevel="0" max="11" min="11" style="1" width="29.38"/>
    <col collapsed="false" customWidth="true" hidden="false" outlineLevel="0" max="13" min="12" style="1" width="12.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customFormat="false" ht="36" hidden="false" customHeight="true" outlineLevel="0" collapsed="false">
      <c r="A2" s="29" t="s">
        <v>238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customFormat="false" ht="18" hidden="false" customHeight="true" outlineLevel="0" collapsed="false">
      <c r="A3" s="62" t="s">
        <v>239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customFormat="false" ht="24.75" hidden="false" customHeight="true" outlineLevel="0" collapsed="false">
      <c r="A4" s="67" t="s">
        <v>240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5" customFormat="false" ht="24.75" hidden="false" customHeight="true" outlineLevel="0" collapsed="false">
      <c r="A5" s="67" t="s">
        <v>241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6" customFormat="false" ht="24.75" hidden="false" customHeight="true" outlineLevel="0" collapsed="false">
      <c r="A6" s="67" t="s">
        <v>242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customFormat="false" ht="33.75" hidden="false" customHeight="true" outlineLevel="0" collapsed="false">
      <c r="A8" s="10" t="s">
        <v>243</v>
      </c>
      <c r="B8" s="10" t="s">
        <v>244</v>
      </c>
      <c r="C8" s="10" t="s">
        <v>245</v>
      </c>
      <c r="D8" s="10" t="s">
        <v>246</v>
      </c>
      <c r="E8" s="10" t="s">
        <v>247</v>
      </c>
      <c r="F8" s="10" t="s">
        <v>248</v>
      </c>
      <c r="G8" s="10" t="s">
        <v>249</v>
      </c>
      <c r="H8" s="10" t="s">
        <v>250</v>
      </c>
      <c r="I8" s="10" t="s">
        <v>251</v>
      </c>
      <c r="J8" s="10" t="s">
        <v>252</v>
      </c>
      <c r="K8" s="10" t="s">
        <v>253</v>
      </c>
      <c r="L8" s="10" t="s">
        <v>254</v>
      </c>
      <c r="M8" s="10" t="s">
        <v>255</v>
      </c>
    </row>
    <row r="9" customFormat="false" ht="39.75" hidden="false" customHeight="true" outlineLevel="0" collapsed="false">
      <c r="A9" s="87" t="s">
        <v>256</v>
      </c>
      <c r="B9" s="73" t="s">
        <v>257</v>
      </c>
      <c r="C9" s="74" t="s">
        <v>258</v>
      </c>
      <c r="D9" s="74" t="s">
        <v>259</v>
      </c>
      <c r="E9" s="72" t="s">
        <v>260</v>
      </c>
      <c r="F9" s="74" t="s">
        <v>261</v>
      </c>
      <c r="G9" s="74" t="s">
        <v>262</v>
      </c>
      <c r="H9" s="74" t="s">
        <v>263</v>
      </c>
      <c r="I9" s="88" t="s">
        <v>264</v>
      </c>
      <c r="J9" s="74" t="s">
        <v>265</v>
      </c>
      <c r="K9" s="74" t="s">
        <v>266</v>
      </c>
      <c r="L9" s="72" t="s">
        <v>178</v>
      </c>
      <c r="M9" s="72" t="s">
        <v>267</v>
      </c>
    </row>
    <row r="10" customFormat="false" ht="39.75" hidden="false" customHeight="true" outlineLevel="0" collapsed="false">
      <c r="A10" s="89" t="s">
        <v>268</v>
      </c>
      <c r="B10" s="81" t="s">
        <v>269</v>
      </c>
      <c r="C10" s="82" t="s">
        <v>270</v>
      </c>
      <c r="D10" s="82" t="s">
        <v>271</v>
      </c>
      <c r="E10" s="80" t="s">
        <v>272</v>
      </c>
      <c r="F10" s="82" t="s">
        <v>273</v>
      </c>
      <c r="G10" s="82" t="s">
        <v>127</v>
      </c>
      <c r="H10" s="82" t="s">
        <v>263</v>
      </c>
      <c r="I10" s="84" t="s">
        <v>264</v>
      </c>
      <c r="J10" s="83" t="s">
        <v>274</v>
      </c>
      <c r="K10" s="83" t="s">
        <v>275</v>
      </c>
      <c r="L10" s="80" t="s">
        <v>178</v>
      </c>
      <c r="M10" s="80" t="s">
        <v>267</v>
      </c>
    </row>
    <row r="11" customFormat="false" ht="39.75" hidden="false" customHeight="true" outlineLevel="0" collapsed="false">
      <c r="A11" s="87" t="s">
        <v>276</v>
      </c>
      <c r="B11" s="73" t="s">
        <v>277</v>
      </c>
      <c r="C11" s="74" t="s">
        <v>278</v>
      </c>
      <c r="D11" s="74" t="s">
        <v>279</v>
      </c>
      <c r="E11" s="72" t="s">
        <v>280</v>
      </c>
      <c r="F11" s="74" t="s">
        <v>281</v>
      </c>
      <c r="G11" s="74" t="s">
        <v>282</v>
      </c>
      <c r="H11" s="74" t="s">
        <v>283</v>
      </c>
      <c r="I11" s="88" t="s">
        <v>284</v>
      </c>
      <c r="J11" s="74" t="s">
        <v>285</v>
      </c>
      <c r="K11" s="74" t="s">
        <v>286</v>
      </c>
      <c r="L11" s="72" t="s">
        <v>178</v>
      </c>
      <c r="M11" s="72" t="s">
        <v>267</v>
      </c>
    </row>
    <row r="12" customFormat="false" ht="39.75" hidden="false" customHeight="true" outlineLevel="0" collapsed="false">
      <c r="A12" s="89" t="s">
        <v>287</v>
      </c>
      <c r="B12" s="81" t="s">
        <v>288</v>
      </c>
      <c r="C12" s="82" t="s">
        <v>278</v>
      </c>
      <c r="D12" s="82" t="s">
        <v>289</v>
      </c>
      <c r="E12" s="80" t="s">
        <v>280</v>
      </c>
      <c r="F12" s="82" t="s">
        <v>290</v>
      </c>
      <c r="G12" s="82" t="s">
        <v>291</v>
      </c>
      <c r="H12" s="82" t="s">
        <v>292</v>
      </c>
      <c r="I12" s="84" t="s">
        <v>293</v>
      </c>
      <c r="J12" s="86" t="s">
        <v>294</v>
      </c>
      <c r="K12" s="86" t="s">
        <v>295</v>
      </c>
      <c r="L12" s="80" t="s">
        <v>178</v>
      </c>
      <c r="M12" s="80" t="s">
        <v>267</v>
      </c>
    </row>
    <row r="13" customFormat="false" ht="39.75" hidden="false" customHeight="true" outlineLevel="0" collapsed="false">
      <c r="A13" s="87" t="s">
        <v>296</v>
      </c>
      <c r="B13" s="73" t="s">
        <v>297</v>
      </c>
      <c r="C13" s="74" t="s">
        <v>278</v>
      </c>
      <c r="D13" s="74" t="s">
        <v>298</v>
      </c>
      <c r="E13" s="72" t="s">
        <v>280</v>
      </c>
      <c r="F13" s="74" t="s">
        <v>299</v>
      </c>
      <c r="G13" s="74" t="s">
        <v>300</v>
      </c>
      <c r="H13" s="74" t="s">
        <v>301</v>
      </c>
      <c r="I13" s="88" t="s">
        <v>302</v>
      </c>
      <c r="J13" s="74" t="s">
        <v>303</v>
      </c>
      <c r="K13" s="74" t="s">
        <v>304</v>
      </c>
      <c r="L13" s="72" t="s">
        <v>178</v>
      </c>
      <c r="M13" s="72" t="s">
        <v>267</v>
      </c>
    </row>
    <row r="14" customFormat="false" ht="39.75" hidden="false" customHeight="true" outlineLevel="0" collapsed="false">
      <c r="A14" s="89" t="s">
        <v>305</v>
      </c>
      <c r="B14" s="81" t="s">
        <v>306</v>
      </c>
      <c r="C14" s="82" t="s">
        <v>278</v>
      </c>
      <c r="D14" s="82" t="s">
        <v>307</v>
      </c>
      <c r="E14" s="80" t="s">
        <v>280</v>
      </c>
      <c r="F14" s="82" t="s">
        <v>308</v>
      </c>
      <c r="G14" s="82" t="s">
        <v>309</v>
      </c>
      <c r="H14" s="82" t="s">
        <v>263</v>
      </c>
      <c r="I14" s="84" t="s">
        <v>310</v>
      </c>
      <c r="J14" s="86" t="s">
        <v>311</v>
      </c>
      <c r="K14" s="86" t="s">
        <v>312</v>
      </c>
      <c r="L14" s="80" t="s">
        <v>178</v>
      </c>
      <c r="M14" s="80" t="s">
        <v>267</v>
      </c>
    </row>
    <row r="15" customFormat="false" ht="39.75" hidden="false" customHeight="true" outlineLevel="0" collapsed="false">
      <c r="A15" s="87" t="s">
        <v>313</v>
      </c>
      <c r="B15" s="73" t="s">
        <v>314</v>
      </c>
      <c r="C15" s="74" t="s">
        <v>315</v>
      </c>
      <c r="D15" s="74" t="s">
        <v>316</v>
      </c>
      <c r="E15" s="72" t="s">
        <v>280</v>
      </c>
      <c r="F15" s="74" t="s">
        <v>317</v>
      </c>
      <c r="G15" s="74" t="s">
        <v>127</v>
      </c>
      <c r="H15" s="74" t="s">
        <v>263</v>
      </c>
      <c r="I15" s="88" t="s">
        <v>264</v>
      </c>
      <c r="J15" s="74" t="s">
        <v>318</v>
      </c>
      <c r="K15" s="74" t="s">
        <v>319</v>
      </c>
      <c r="L15" s="72" t="s">
        <v>178</v>
      </c>
      <c r="M15" s="72" t="s">
        <v>267</v>
      </c>
    </row>
    <row r="16" customFormat="false" ht="39.75" hidden="false" customHeight="true" outlineLevel="0" collapsed="false">
      <c r="A16" s="89" t="s">
        <v>320</v>
      </c>
      <c r="B16" s="81" t="s">
        <v>321</v>
      </c>
      <c r="C16" s="82" t="s">
        <v>322</v>
      </c>
      <c r="D16" s="82" t="s">
        <v>323</v>
      </c>
      <c r="E16" s="80" t="s">
        <v>280</v>
      </c>
      <c r="F16" s="82" t="s">
        <v>324</v>
      </c>
      <c r="G16" s="82" t="s">
        <v>127</v>
      </c>
      <c r="H16" s="82" t="s">
        <v>325</v>
      </c>
      <c r="I16" s="84" t="s">
        <v>326</v>
      </c>
      <c r="J16" s="86" t="s">
        <v>327</v>
      </c>
      <c r="K16" s="86" t="s">
        <v>328</v>
      </c>
      <c r="L16" s="80" t="s">
        <v>178</v>
      </c>
      <c r="M16" s="80" t="s">
        <v>267</v>
      </c>
    </row>
    <row r="17" customFormat="false" ht="39.75" hidden="false" customHeight="true" outlineLevel="0" collapsed="false">
      <c r="A17" s="87" t="s">
        <v>329</v>
      </c>
      <c r="B17" s="73" t="s">
        <v>330</v>
      </c>
      <c r="C17" s="74" t="s">
        <v>331</v>
      </c>
      <c r="D17" s="74" t="s">
        <v>332</v>
      </c>
      <c r="E17" s="72" t="s">
        <v>280</v>
      </c>
      <c r="F17" s="74" t="s">
        <v>333</v>
      </c>
      <c r="G17" s="74" t="s">
        <v>334</v>
      </c>
      <c r="H17" s="74" t="s">
        <v>263</v>
      </c>
      <c r="I17" s="88" t="s">
        <v>335</v>
      </c>
      <c r="J17" s="74" t="s">
        <v>336</v>
      </c>
      <c r="K17" s="74" t="s">
        <v>337</v>
      </c>
      <c r="L17" s="72" t="s">
        <v>178</v>
      </c>
      <c r="M17" s="72" t="s">
        <v>267</v>
      </c>
    </row>
    <row r="18" customFormat="false" ht="39.75" hidden="false" customHeight="true" outlineLevel="0" collapsed="false">
      <c r="A18" s="89" t="s">
        <v>338</v>
      </c>
      <c r="B18" s="81" t="s">
        <v>339</v>
      </c>
      <c r="C18" s="82" t="s">
        <v>340</v>
      </c>
      <c r="D18" s="82" t="s">
        <v>341</v>
      </c>
      <c r="E18" s="80" t="s">
        <v>260</v>
      </c>
      <c r="F18" s="82" t="s">
        <v>342</v>
      </c>
      <c r="G18" s="82" t="s">
        <v>127</v>
      </c>
      <c r="H18" s="82" t="s">
        <v>343</v>
      </c>
      <c r="I18" s="84" t="s">
        <v>344</v>
      </c>
      <c r="J18" s="86" t="s">
        <v>345</v>
      </c>
      <c r="K18" s="86" t="s">
        <v>346</v>
      </c>
      <c r="L18" s="80" t="s">
        <v>178</v>
      </c>
      <c r="M18" s="80" t="s">
        <v>267</v>
      </c>
    </row>
    <row r="19" customFormat="false" ht="39.75" hidden="false" customHeight="true" outlineLevel="0" collapsed="false">
      <c r="A19" s="87" t="s">
        <v>347</v>
      </c>
      <c r="B19" s="73" t="s">
        <v>348</v>
      </c>
      <c r="C19" s="74" t="s">
        <v>349</v>
      </c>
      <c r="D19" s="74" t="s">
        <v>350</v>
      </c>
      <c r="E19" s="72" t="s">
        <v>280</v>
      </c>
      <c r="F19" s="74" t="s">
        <v>351</v>
      </c>
      <c r="G19" s="74" t="s">
        <v>282</v>
      </c>
      <c r="H19" s="74" t="s">
        <v>352</v>
      </c>
      <c r="I19" s="88" t="s">
        <v>353</v>
      </c>
      <c r="J19" s="74" t="s">
        <v>354</v>
      </c>
      <c r="K19" s="74" t="s">
        <v>355</v>
      </c>
      <c r="L19" s="72" t="s">
        <v>178</v>
      </c>
      <c r="M19" s="72" t="s">
        <v>267</v>
      </c>
    </row>
    <row r="20" customFormat="false" ht="39.75" hidden="false" customHeight="true" outlineLevel="0" collapsed="false">
      <c r="A20" s="89" t="s">
        <v>356</v>
      </c>
      <c r="B20" s="81" t="s">
        <v>357</v>
      </c>
      <c r="C20" s="82" t="s">
        <v>349</v>
      </c>
      <c r="D20" s="82" t="s">
        <v>358</v>
      </c>
      <c r="E20" s="80" t="s">
        <v>280</v>
      </c>
      <c r="F20" s="82" t="s">
        <v>359</v>
      </c>
      <c r="G20" s="82" t="s">
        <v>300</v>
      </c>
      <c r="H20" s="82" t="s">
        <v>301</v>
      </c>
      <c r="I20" s="84" t="s">
        <v>360</v>
      </c>
      <c r="J20" s="83" t="s">
        <v>361</v>
      </c>
      <c r="K20" s="83" t="s">
        <v>362</v>
      </c>
      <c r="L20" s="80" t="s">
        <v>178</v>
      </c>
      <c r="M20" s="80" t="s">
        <v>267</v>
      </c>
    </row>
    <row r="21" customFormat="false" ht="39.75" hidden="false" customHeight="true" outlineLevel="0" collapsed="false">
      <c r="A21" s="87" t="s">
        <v>363</v>
      </c>
      <c r="B21" s="73" t="s">
        <v>364</v>
      </c>
      <c r="C21" s="74" t="s">
        <v>365</v>
      </c>
      <c r="D21" s="74" t="s">
        <v>366</v>
      </c>
      <c r="E21" s="72" t="s">
        <v>280</v>
      </c>
      <c r="F21" s="74" t="s">
        <v>367</v>
      </c>
      <c r="G21" s="74" t="s">
        <v>309</v>
      </c>
      <c r="H21" s="74" t="s">
        <v>368</v>
      </c>
      <c r="I21" s="88" t="s">
        <v>369</v>
      </c>
      <c r="J21" s="74" t="s">
        <v>370</v>
      </c>
      <c r="K21" s="74" t="s">
        <v>371</v>
      </c>
      <c r="L21" s="72" t="s">
        <v>178</v>
      </c>
      <c r="M21" s="72" t="s">
        <v>267</v>
      </c>
    </row>
    <row r="22" customFormat="false" ht="39.75" hidden="false" customHeight="true" outlineLevel="0" collapsed="false">
      <c r="A22" s="89" t="s">
        <v>372</v>
      </c>
      <c r="B22" s="81" t="s">
        <v>373</v>
      </c>
      <c r="C22" s="82" t="s">
        <v>374</v>
      </c>
      <c r="D22" s="82" t="s">
        <v>375</v>
      </c>
      <c r="E22" s="80" t="s">
        <v>280</v>
      </c>
      <c r="F22" s="82" t="s">
        <v>376</v>
      </c>
      <c r="G22" s="82" t="s">
        <v>127</v>
      </c>
      <c r="H22" s="82" t="s">
        <v>263</v>
      </c>
      <c r="I22" s="84" t="s">
        <v>264</v>
      </c>
      <c r="J22" s="86" t="s">
        <v>377</v>
      </c>
      <c r="K22" s="86" t="s">
        <v>319</v>
      </c>
      <c r="L22" s="80" t="s">
        <v>178</v>
      </c>
      <c r="M22" s="80" t="s">
        <v>267</v>
      </c>
    </row>
    <row r="23" customFormat="false" ht="39.75" hidden="false" customHeight="true" outlineLevel="0" collapsed="false">
      <c r="A23" s="87" t="s">
        <v>378</v>
      </c>
      <c r="B23" s="73" t="s">
        <v>379</v>
      </c>
      <c r="C23" s="74" t="s">
        <v>380</v>
      </c>
      <c r="D23" s="74" t="s">
        <v>381</v>
      </c>
      <c r="E23" s="72" t="s">
        <v>280</v>
      </c>
      <c r="F23" s="74" t="s">
        <v>382</v>
      </c>
      <c r="G23" s="74" t="s">
        <v>127</v>
      </c>
      <c r="H23" s="74" t="s">
        <v>263</v>
      </c>
      <c r="I23" s="88" t="s">
        <v>264</v>
      </c>
      <c r="J23" s="74" t="s">
        <v>383</v>
      </c>
      <c r="K23" s="74" t="s">
        <v>384</v>
      </c>
      <c r="L23" s="72" t="s">
        <v>178</v>
      </c>
      <c r="M23" s="72" t="s">
        <v>267</v>
      </c>
    </row>
    <row r="24" customFormat="false" ht="39.75" hidden="false" customHeight="true" outlineLevel="0" collapsed="false">
      <c r="A24" s="89" t="s">
        <v>385</v>
      </c>
      <c r="B24" s="81" t="s">
        <v>386</v>
      </c>
      <c r="C24" s="82" t="s">
        <v>380</v>
      </c>
      <c r="D24" s="82" t="s">
        <v>387</v>
      </c>
      <c r="E24" s="80" t="s">
        <v>280</v>
      </c>
      <c r="F24" s="82" t="s">
        <v>388</v>
      </c>
      <c r="G24" s="82" t="s">
        <v>127</v>
      </c>
      <c r="H24" s="82" t="s">
        <v>343</v>
      </c>
      <c r="I24" s="84" t="s">
        <v>344</v>
      </c>
      <c r="J24" s="86" t="s">
        <v>389</v>
      </c>
      <c r="K24" s="86" t="s">
        <v>390</v>
      </c>
      <c r="L24" s="80" t="s">
        <v>178</v>
      </c>
      <c r="M24" s="80" t="s">
        <v>267</v>
      </c>
    </row>
    <row r="25" customFormat="false" ht="39.75" hidden="false" customHeight="true" outlineLevel="0" collapsed="false">
      <c r="A25" s="87" t="s">
        <v>391</v>
      </c>
      <c r="B25" s="73" t="s">
        <v>392</v>
      </c>
      <c r="C25" s="74" t="s">
        <v>393</v>
      </c>
      <c r="D25" s="74" t="s">
        <v>394</v>
      </c>
      <c r="E25" s="72" t="s">
        <v>260</v>
      </c>
      <c r="F25" s="74" t="s">
        <v>395</v>
      </c>
      <c r="G25" s="74" t="s">
        <v>127</v>
      </c>
      <c r="H25" s="74" t="s">
        <v>292</v>
      </c>
      <c r="I25" s="88" t="s">
        <v>396</v>
      </c>
      <c r="J25" s="74" t="s">
        <v>127</v>
      </c>
      <c r="K25" s="74" t="s">
        <v>397</v>
      </c>
      <c r="L25" s="72" t="s">
        <v>178</v>
      </c>
      <c r="M25" s="72" t="s">
        <v>267</v>
      </c>
    </row>
    <row r="26" customFormat="false" ht="39.75" hidden="false" customHeight="true" outlineLevel="0" collapsed="false">
      <c r="A26" s="89" t="s">
        <v>398</v>
      </c>
      <c r="B26" s="81" t="s">
        <v>399</v>
      </c>
      <c r="C26" s="82" t="s">
        <v>400</v>
      </c>
      <c r="D26" s="82" t="s">
        <v>401</v>
      </c>
      <c r="E26" s="80" t="s">
        <v>280</v>
      </c>
      <c r="F26" s="82" t="s">
        <v>402</v>
      </c>
      <c r="G26" s="82" t="s">
        <v>282</v>
      </c>
      <c r="H26" s="82" t="s">
        <v>283</v>
      </c>
      <c r="I26" s="84" t="s">
        <v>396</v>
      </c>
      <c r="J26" s="86" t="s">
        <v>403</v>
      </c>
      <c r="K26" s="86" t="s">
        <v>404</v>
      </c>
      <c r="L26" s="80" t="s">
        <v>178</v>
      </c>
      <c r="M26" s="80" t="s">
        <v>267</v>
      </c>
    </row>
    <row r="27" customFormat="false" ht="39.75" hidden="false" customHeight="true" outlineLevel="0" collapsed="false">
      <c r="A27" s="87" t="s">
        <v>405</v>
      </c>
      <c r="B27" s="73" t="s">
        <v>406</v>
      </c>
      <c r="C27" s="74" t="s">
        <v>400</v>
      </c>
      <c r="D27" s="74" t="s">
        <v>407</v>
      </c>
      <c r="E27" s="72" t="s">
        <v>280</v>
      </c>
      <c r="F27" s="74" t="s">
        <v>408</v>
      </c>
      <c r="G27" s="74" t="s">
        <v>127</v>
      </c>
      <c r="H27" s="74" t="s">
        <v>409</v>
      </c>
      <c r="I27" s="88" t="s">
        <v>396</v>
      </c>
      <c r="J27" s="74" t="s">
        <v>410</v>
      </c>
      <c r="K27" s="74" t="s">
        <v>411</v>
      </c>
      <c r="L27" s="72" t="s">
        <v>178</v>
      </c>
      <c r="M27" s="72" t="s">
        <v>267</v>
      </c>
    </row>
    <row r="28" customFormat="false" ht="39.75" hidden="false" customHeight="true" outlineLevel="0" collapsed="false">
      <c r="A28" s="89" t="s">
        <v>412</v>
      </c>
      <c r="B28" s="81" t="s">
        <v>413</v>
      </c>
      <c r="C28" s="82" t="s">
        <v>400</v>
      </c>
      <c r="D28" s="82" t="s">
        <v>414</v>
      </c>
      <c r="E28" s="80" t="s">
        <v>280</v>
      </c>
      <c r="F28" s="82" t="s">
        <v>415</v>
      </c>
      <c r="G28" s="82" t="s">
        <v>127</v>
      </c>
      <c r="H28" s="82" t="s">
        <v>263</v>
      </c>
      <c r="I28" s="84" t="s">
        <v>264</v>
      </c>
      <c r="J28" s="86" t="s">
        <v>127</v>
      </c>
      <c r="K28" s="86" t="s">
        <v>416</v>
      </c>
      <c r="L28" s="80" t="s">
        <v>178</v>
      </c>
      <c r="M28" s="80" t="s">
        <v>267</v>
      </c>
    </row>
    <row r="29" customFormat="false" ht="39.75" hidden="false" customHeight="true" outlineLevel="0" collapsed="false">
      <c r="A29" s="87" t="s">
        <v>417</v>
      </c>
      <c r="B29" s="73" t="s">
        <v>418</v>
      </c>
      <c r="C29" s="74" t="s">
        <v>419</v>
      </c>
      <c r="D29" s="74" t="s">
        <v>420</v>
      </c>
      <c r="E29" s="72" t="s">
        <v>280</v>
      </c>
      <c r="F29" s="74" t="s">
        <v>421</v>
      </c>
      <c r="G29" s="74" t="s">
        <v>309</v>
      </c>
      <c r="H29" s="74" t="s">
        <v>422</v>
      </c>
      <c r="I29" s="88" t="s">
        <v>310</v>
      </c>
      <c r="J29" s="74" t="s">
        <v>423</v>
      </c>
      <c r="K29" s="74" t="s">
        <v>424</v>
      </c>
      <c r="L29" s="72" t="s">
        <v>178</v>
      </c>
      <c r="M29" s="72" t="s">
        <v>267</v>
      </c>
    </row>
    <row r="30" customFormat="false" ht="39.75" hidden="false" customHeight="true" outlineLevel="0" collapsed="false">
      <c r="A30" s="89" t="s">
        <v>425</v>
      </c>
      <c r="B30" s="81" t="s">
        <v>426</v>
      </c>
      <c r="C30" s="82" t="s">
        <v>427</v>
      </c>
      <c r="D30" s="82" t="s">
        <v>428</v>
      </c>
      <c r="E30" s="80" t="s">
        <v>260</v>
      </c>
      <c r="F30" s="82" t="s">
        <v>429</v>
      </c>
      <c r="G30" s="82" t="s">
        <v>127</v>
      </c>
      <c r="H30" s="82" t="s">
        <v>430</v>
      </c>
      <c r="I30" s="84" t="s">
        <v>431</v>
      </c>
      <c r="J30" s="86" t="s">
        <v>432</v>
      </c>
      <c r="K30" s="86" t="s">
        <v>433</v>
      </c>
      <c r="L30" s="80" t="s">
        <v>178</v>
      </c>
      <c r="M30" s="80" t="s">
        <v>267</v>
      </c>
    </row>
    <row r="31" customFormat="false" ht="39.75" hidden="false" customHeight="true" outlineLevel="0" collapsed="false">
      <c r="A31" s="87" t="s">
        <v>434</v>
      </c>
      <c r="B31" s="73" t="s">
        <v>435</v>
      </c>
      <c r="C31" s="74" t="s">
        <v>436</v>
      </c>
      <c r="D31" s="74" t="s">
        <v>437</v>
      </c>
      <c r="E31" s="72" t="s">
        <v>272</v>
      </c>
      <c r="F31" s="74" t="s">
        <v>438</v>
      </c>
      <c r="G31" s="74" t="s">
        <v>439</v>
      </c>
      <c r="H31" s="74" t="s">
        <v>440</v>
      </c>
      <c r="I31" s="88" t="s">
        <v>441</v>
      </c>
      <c r="J31" s="74" t="s">
        <v>442</v>
      </c>
      <c r="K31" s="74" t="s">
        <v>443</v>
      </c>
      <c r="L31" s="72" t="s">
        <v>178</v>
      </c>
      <c r="M31" s="72" t="s">
        <v>267</v>
      </c>
    </row>
    <row r="32" customFormat="false" ht="39.75" hidden="false" customHeight="true" outlineLevel="0" collapsed="false">
      <c r="A32" s="89" t="s">
        <v>444</v>
      </c>
      <c r="B32" s="81" t="s">
        <v>445</v>
      </c>
      <c r="C32" s="82" t="s">
        <v>446</v>
      </c>
      <c r="D32" s="82" t="s">
        <v>447</v>
      </c>
      <c r="E32" s="80" t="s">
        <v>280</v>
      </c>
      <c r="F32" s="82" t="s">
        <v>448</v>
      </c>
      <c r="G32" s="82" t="s">
        <v>127</v>
      </c>
      <c r="H32" s="82" t="s">
        <v>449</v>
      </c>
      <c r="I32" s="84" t="s">
        <v>396</v>
      </c>
      <c r="J32" s="86" t="s">
        <v>327</v>
      </c>
      <c r="K32" s="83" t="s">
        <v>450</v>
      </c>
      <c r="L32" s="80" t="s">
        <v>178</v>
      </c>
      <c r="M32" s="80" t="s">
        <v>267</v>
      </c>
    </row>
    <row r="33" customFormat="false" ht="39.75" hidden="false" customHeight="true" outlineLevel="0" collapsed="false">
      <c r="A33" s="87" t="s">
        <v>451</v>
      </c>
      <c r="B33" s="73" t="s">
        <v>452</v>
      </c>
      <c r="C33" s="74" t="s">
        <v>453</v>
      </c>
      <c r="D33" s="74" t="s">
        <v>454</v>
      </c>
      <c r="E33" s="72" t="s">
        <v>272</v>
      </c>
      <c r="F33" s="74" t="s">
        <v>455</v>
      </c>
      <c r="G33" s="74" t="s">
        <v>456</v>
      </c>
      <c r="H33" s="74" t="s">
        <v>457</v>
      </c>
      <c r="I33" s="88" t="s">
        <v>335</v>
      </c>
      <c r="J33" s="74" t="s">
        <v>458</v>
      </c>
      <c r="K33" s="74" t="s">
        <v>459</v>
      </c>
      <c r="L33" s="72" t="s">
        <v>178</v>
      </c>
      <c r="M33" s="72" t="s">
        <v>267</v>
      </c>
    </row>
    <row r="34" customFormat="false" ht="39.75" hidden="false" customHeight="true" outlineLevel="0" collapsed="false">
      <c r="A34" s="89" t="s">
        <v>460</v>
      </c>
      <c r="B34" s="81" t="s">
        <v>461</v>
      </c>
      <c r="C34" s="82" t="s">
        <v>462</v>
      </c>
      <c r="D34" s="82" t="s">
        <v>463</v>
      </c>
      <c r="E34" s="80" t="s">
        <v>280</v>
      </c>
      <c r="F34" s="82" t="s">
        <v>464</v>
      </c>
      <c r="G34" s="82" t="s">
        <v>291</v>
      </c>
      <c r="H34" s="82" t="s">
        <v>292</v>
      </c>
      <c r="I34" s="84" t="s">
        <v>465</v>
      </c>
      <c r="J34" s="86" t="s">
        <v>466</v>
      </c>
      <c r="K34" s="83" t="s">
        <v>467</v>
      </c>
      <c r="L34" s="80" t="s">
        <v>178</v>
      </c>
      <c r="M34" s="80" t="s">
        <v>267</v>
      </c>
    </row>
    <row r="35" customFormat="false" ht="39.75" hidden="false" customHeight="true" outlineLevel="0" collapsed="false">
      <c r="A35" s="87" t="s">
        <v>468</v>
      </c>
      <c r="B35" s="73" t="s">
        <v>469</v>
      </c>
      <c r="C35" s="74" t="s">
        <v>462</v>
      </c>
      <c r="D35" s="74" t="s">
        <v>470</v>
      </c>
      <c r="E35" s="72" t="s">
        <v>280</v>
      </c>
      <c r="F35" s="74" t="s">
        <v>471</v>
      </c>
      <c r="G35" s="74" t="s">
        <v>300</v>
      </c>
      <c r="H35" s="74" t="s">
        <v>301</v>
      </c>
      <c r="I35" s="88" t="s">
        <v>302</v>
      </c>
      <c r="J35" s="74" t="s">
        <v>472</v>
      </c>
      <c r="K35" s="74" t="s">
        <v>473</v>
      </c>
      <c r="L35" s="72" t="s">
        <v>178</v>
      </c>
      <c r="M35" s="72" t="s">
        <v>267</v>
      </c>
    </row>
    <row r="36" customFormat="false" ht="39.75" hidden="false" customHeight="true" outlineLevel="0" collapsed="false">
      <c r="A36" s="89" t="s">
        <v>474</v>
      </c>
      <c r="B36" s="81" t="s">
        <v>475</v>
      </c>
      <c r="C36" s="82" t="s">
        <v>476</v>
      </c>
      <c r="D36" s="82" t="s">
        <v>477</v>
      </c>
      <c r="E36" s="80" t="s">
        <v>280</v>
      </c>
      <c r="F36" s="82" t="s">
        <v>478</v>
      </c>
      <c r="G36" s="82" t="s">
        <v>479</v>
      </c>
      <c r="H36" s="82" t="s">
        <v>480</v>
      </c>
      <c r="I36" s="84" t="s">
        <v>481</v>
      </c>
      <c r="J36" s="86" t="s">
        <v>127</v>
      </c>
      <c r="K36" s="86" t="s">
        <v>482</v>
      </c>
      <c r="L36" s="80" t="s">
        <v>178</v>
      </c>
      <c r="M36" s="80" t="s">
        <v>267</v>
      </c>
    </row>
    <row r="37" customFormat="false" ht="39.75" hidden="false" customHeight="true" outlineLevel="0" collapsed="false">
      <c r="A37" s="87" t="s">
        <v>483</v>
      </c>
      <c r="B37" s="73" t="s">
        <v>484</v>
      </c>
      <c r="C37" s="74" t="s">
        <v>485</v>
      </c>
      <c r="D37" s="74" t="s">
        <v>486</v>
      </c>
      <c r="E37" s="72" t="s">
        <v>280</v>
      </c>
      <c r="F37" s="74" t="s">
        <v>487</v>
      </c>
      <c r="G37" s="74" t="s">
        <v>488</v>
      </c>
      <c r="H37" s="74" t="s">
        <v>489</v>
      </c>
      <c r="I37" s="88" t="s">
        <v>490</v>
      </c>
      <c r="J37" s="74" t="s">
        <v>491</v>
      </c>
      <c r="K37" s="74" t="s">
        <v>492</v>
      </c>
      <c r="L37" s="72" t="s">
        <v>178</v>
      </c>
      <c r="M37" s="72" t="s">
        <v>267</v>
      </c>
    </row>
    <row r="38" customFormat="false" ht="39.75" hidden="false" customHeight="true" outlineLevel="0" collapsed="false">
      <c r="A38" s="89" t="s">
        <v>493</v>
      </c>
      <c r="B38" s="81" t="s">
        <v>494</v>
      </c>
      <c r="C38" s="82" t="s">
        <v>495</v>
      </c>
      <c r="D38" s="82" t="s">
        <v>496</v>
      </c>
      <c r="E38" s="80" t="s">
        <v>260</v>
      </c>
      <c r="F38" s="82" t="s">
        <v>497</v>
      </c>
      <c r="G38" s="82" t="s">
        <v>498</v>
      </c>
      <c r="H38" s="82" t="s">
        <v>430</v>
      </c>
      <c r="I38" s="84" t="s">
        <v>431</v>
      </c>
      <c r="J38" s="86" t="s">
        <v>345</v>
      </c>
      <c r="K38" s="86" t="s">
        <v>346</v>
      </c>
      <c r="L38" s="80" t="s">
        <v>178</v>
      </c>
      <c r="M38" s="80" t="s">
        <v>267</v>
      </c>
    </row>
  </sheetData>
  <mergeCells count="3">
    <mergeCell ref="A4:M4"/>
    <mergeCell ref="A5:M5"/>
    <mergeCell ref="A6:M6"/>
  </mergeCells>
  <conditionalFormatting sqref="M9:M38">
    <cfRule type="cellIs" priority="2" operator="equal" aboveAverage="0" equalAverage="0" bottom="0" percent="0" rank="0" text="" dxfId="9">
      <formula>"未確認"</formula>
    </cfRule>
    <cfRule type="cellIs" priority="3" operator="equal" aboveAverage="0" equalAverage="0" bottom="0" percent="0" rank="0" text="" dxfId="10">
      <formula>"確認中"</formula>
    </cfRule>
    <cfRule type="cellIs" priority="4" operator="equal" aboveAverage="0" equalAverage="0" bottom="0" percent="0" rank="0" text="" dxfId="12">
      <formula>"掲載可"</formula>
    </cfRule>
    <cfRule type="cellIs" priority="5" operator="equal" aboveAverage="0" equalAverage="0" bottom="0" percent="0" rank="0" text="" dxfId="13">
      <formula>"差し替え"</formula>
    </cfRule>
  </conditionalFormatting>
  <dataValidations count="1">
    <dataValidation allowBlank="true" errorStyle="stop" operator="between" showDropDown="false" showErrorMessage="false" showInputMessage="false" sqref="M9:M38" type="list">
      <formula1>"未確認,確認中,掲載可,差し替え"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553D"/>
    <pageSetUpPr fitToPage="true"/>
  </sheetPr>
  <dimension ref="A1:L3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.25"/>
    <col collapsed="false" customWidth="true" hidden="false" outlineLevel="0" max="2" min="2" style="1" width="13.13"/>
    <col collapsed="false" customWidth="true" hidden="false" outlineLevel="0" max="4" min="3" style="1" width="8.75"/>
    <col collapsed="false" customWidth="true" hidden="false" outlineLevel="0" max="5" min="5" style="1" width="10"/>
    <col collapsed="false" customWidth="true" hidden="false" outlineLevel="0" max="6" min="6" style="1" width="26.25"/>
    <col collapsed="false" customWidth="true" hidden="false" outlineLevel="0" max="7" min="7" style="1" width="29.38"/>
    <col collapsed="false" customWidth="true" hidden="false" outlineLevel="0" max="8" min="8" style="1" width="26.25"/>
    <col collapsed="false" customWidth="true" hidden="false" outlineLevel="0" max="9" min="9" style="1" width="19.38"/>
    <col collapsed="false" customWidth="true" hidden="false" outlineLevel="0" max="10" min="10" style="1" width="32.5"/>
    <col collapsed="false" customWidth="true" hidden="false" outlineLevel="0" max="11" min="11" style="1" width="20.63"/>
    <col collapsed="false" customWidth="true" hidden="false" outlineLevel="0" max="12" min="12" style="1" width="12.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customFormat="false" ht="36" hidden="false" customHeight="true" outlineLevel="0" collapsed="false">
      <c r="A2" s="90" t="s">
        <v>499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customFormat="false" ht="18" hidden="false" customHeight="true" outlineLevel="0" collapsed="false">
      <c r="A3" s="62" t="s">
        <v>500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customFormat="false" ht="24.75" hidden="false" customHeight="true" outlineLevel="0" collapsed="false">
      <c r="A4" s="91" t="s">
        <v>501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customFormat="false" ht="24.75" hidden="false" customHeight="true" outlineLevel="0" collapsed="false">
      <c r="A5" s="67" t="s">
        <v>502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customFormat="false" ht="24.75" hidden="false" customHeight="true" outlineLevel="0" collapsed="false">
      <c r="A6" s="67" t="s">
        <v>503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</row>
    <row r="8" customFormat="false" ht="33.75" hidden="false" customHeight="true" outlineLevel="0" collapsed="false">
      <c r="A8" s="10" t="s">
        <v>251</v>
      </c>
      <c r="B8" s="10" t="s">
        <v>61</v>
      </c>
      <c r="C8" s="10" t="s">
        <v>71</v>
      </c>
      <c r="D8" s="10" t="s">
        <v>504</v>
      </c>
      <c r="E8" s="10" t="s">
        <v>505</v>
      </c>
      <c r="F8" s="10" t="s">
        <v>6</v>
      </c>
      <c r="G8" s="10" t="s">
        <v>506</v>
      </c>
      <c r="H8" s="10" t="s">
        <v>507</v>
      </c>
      <c r="I8" s="10" t="s">
        <v>243</v>
      </c>
      <c r="J8" s="10" t="s">
        <v>508</v>
      </c>
      <c r="K8" s="10" t="s">
        <v>254</v>
      </c>
      <c r="L8" s="10" t="s">
        <v>98</v>
      </c>
    </row>
    <row r="9" customFormat="false" ht="33.75" hidden="false" customHeight="true" outlineLevel="0" collapsed="false">
      <c r="A9" s="92" t="s">
        <v>509</v>
      </c>
      <c r="B9" s="93" t="n">
        <f aca="false">制作工程表!$E$4</f>
        <v>46377</v>
      </c>
      <c r="C9" s="94" t="n">
        <v>0.333333333333333</v>
      </c>
      <c r="D9" s="94" t="n">
        <v>0.354166666666667</v>
      </c>
      <c r="E9" s="95" t="n">
        <f aca="false">ROUND((D9-C9)*1440,0)</f>
        <v>30</v>
      </c>
      <c r="F9" s="96" t="s">
        <v>510</v>
      </c>
      <c r="G9" s="96" t="s">
        <v>511</v>
      </c>
      <c r="H9" s="96" t="s">
        <v>512</v>
      </c>
      <c r="I9" s="97" t="s">
        <v>127</v>
      </c>
      <c r="J9" s="96" t="s">
        <v>513</v>
      </c>
      <c r="K9" s="96" t="s">
        <v>514</v>
      </c>
      <c r="L9" s="97" t="s">
        <v>32</v>
      </c>
    </row>
    <row r="10" customFormat="false" ht="33.75" hidden="false" customHeight="true" outlineLevel="0" collapsed="false">
      <c r="A10" s="98" t="s">
        <v>481</v>
      </c>
      <c r="B10" s="99" t="n">
        <f aca="false">制作工程表!$E$4</f>
        <v>46377</v>
      </c>
      <c r="C10" s="100" t="n">
        <v>0.354166666666667</v>
      </c>
      <c r="D10" s="100" t="n">
        <v>0.375</v>
      </c>
      <c r="E10" s="80" t="n">
        <f aca="false">ROUND((D10-C10)*1440,0)</f>
        <v>30</v>
      </c>
      <c r="F10" s="81" t="s">
        <v>475</v>
      </c>
      <c r="G10" s="82" t="s">
        <v>479</v>
      </c>
      <c r="H10" s="82" t="s">
        <v>480</v>
      </c>
      <c r="I10" s="84" t="s">
        <v>474</v>
      </c>
      <c r="J10" s="82" t="s">
        <v>515</v>
      </c>
      <c r="K10" s="82" t="s">
        <v>178</v>
      </c>
      <c r="L10" s="80" t="s">
        <v>32</v>
      </c>
    </row>
    <row r="11" customFormat="false" ht="33.75" hidden="false" customHeight="true" outlineLevel="0" collapsed="false">
      <c r="A11" s="101" t="s">
        <v>284</v>
      </c>
      <c r="B11" s="102" t="n">
        <f aca="false">制作工程表!$E$4</f>
        <v>46377</v>
      </c>
      <c r="C11" s="103" t="n">
        <v>0.375</v>
      </c>
      <c r="D11" s="103" t="n">
        <v>0.416666666666667</v>
      </c>
      <c r="E11" s="72" t="n">
        <f aca="false">ROUND((D11-C11)*1440,0)</f>
        <v>60</v>
      </c>
      <c r="F11" s="73" t="s">
        <v>516</v>
      </c>
      <c r="G11" s="74" t="s">
        <v>282</v>
      </c>
      <c r="H11" s="74" t="s">
        <v>283</v>
      </c>
      <c r="I11" s="88" t="s">
        <v>276</v>
      </c>
      <c r="J11" s="74" t="s">
        <v>517</v>
      </c>
      <c r="K11" s="74" t="s">
        <v>518</v>
      </c>
      <c r="L11" s="72" t="s">
        <v>32</v>
      </c>
    </row>
    <row r="12" customFormat="false" ht="33.75" hidden="false" customHeight="true" outlineLevel="0" collapsed="false">
      <c r="A12" s="98" t="s">
        <v>353</v>
      </c>
      <c r="B12" s="99" t="n">
        <f aca="false">制作工程表!$E$4</f>
        <v>46377</v>
      </c>
      <c r="C12" s="100" t="n">
        <v>0.416666666666667</v>
      </c>
      <c r="D12" s="100" t="n">
        <v>0.4375</v>
      </c>
      <c r="E12" s="80" t="n">
        <f aca="false">ROUND((D12-C12)*1440,0)</f>
        <v>30</v>
      </c>
      <c r="F12" s="81" t="s">
        <v>519</v>
      </c>
      <c r="G12" s="82" t="s">
        <v>282</v>
      </c>
      <c r="H12" s="82" t="s">
        <v>520</v>
      </c>
      <c r="I12" s="84" t="s">
        <v>347</v>
      </c>
      <c r="J12" s="82" t="s">
        <v>521</v>
      </c>
      <c r="K12" s="82" t="s">
        <v>178</v>
      </c>
      <c r="L12" s="80" t="s">
        <v>32</v>
      </c>
    </row>
    <row r="13" customFormat="false" ht="33.75" hidden="false" customHeight="true" outlineLevel="0" collapsed="false">
      <c r="A13" s="92" t="s">
        <v>522</v>
      </c>
      <c r="B13" s="93" t="n">
        <f aca="false">制作工程表!$E$4</f>
        <v>46377</v>
      </c>
      <c r="C13" s="94" t="n">
        <v>0.4375</v>
      </c>
      <c r="D13" s="94" t="n">
        <v>0.447916666666667</v>
      </c>
      <c r="E13" s="95" t="n">
        <f aca="false">ROUND((D13-C13)*1440,0)</f>
        <v>15</v>
      </c>
      <c r="F13" s="96" t="s">
        <v>523</v>
      </c>
      <c r="G13" s="96" t="s">
        <v>524</v>
      </c>
      <c r="H13" s="96" t="s">
        <v>525</v>
      </c>
      <c r="I13" s="97" t="s">
        <v>127</v>
      </c>
      <c r="J13" s="96" t="s">
        <v>526</v>
      </c>
      <c r="K13" s="96" t="s">
        <v>524</v>
      </c>
      <c r="L13" s="97" t="s">
        <v>32</v>
      </c>
    </row>
    <row r="14" customFormat="false" ht="33.75" hidden="false" customHeight="true" outlineLevel="0" collapsed="false">
      <c r="A14" s="101" t="s">
        <v>293</v>
      </c>
      <c r="B14" s="102" t="n">
        <f aca="false">制作工程表!$E$4</f>
        <v>46377</v>
      </c>
      <c r="C14" s="103" t="n">
        <v>0.447916666666667</v>
      </c>
      <c r="D14" s="103" t="n">
        <v>0.489583333333333</v>
      </c>
      <c r="E14" s="72" t="n">
        <f aca="false">ROUND((D14-C14)*1440,0)</f>
        <v>60</v>
      </c>
      <c r="F14" s="73" t="s">
        <v>527</v>
      </c>
      <c r="G14" s="74" t="s">
        <v>291</v>
      </c>
      <c r="H14" s="74" t="s">
        <v>292</v>
      </c>
      <c r="I14" s="88" t="s">
        <v>287</v>
      </c>
      <c r="J14" s="74" t="s">
        <v>528</v>
      </c>
      <c r="K14" s="74" t="s">
        <v>518</v>
      </c>
      <c r="L14" s="72" t="s">
        <v>32</v>
      </c>
    </row>
    <row r="15" customFormat="false" ht="33.75" hidden="false" customHeight="true" outlineLevel="0" collapsed="false">
      <c r="A15" s="98" t="s">
        <v>344</v>
      </c>
      <c r="B15" s="99" t="n">
        <f aca="false">制作工程表!$E$4</f>
        <v>46377</v>
      </c>
      <c r="C15" s="100" t="n">
        <v>0.489583333333333</v>
      </c>
      <c r="D15" s="100" t="n">
        <v>0.5</v>
      </c>
      <c r="E15" s="80" t="n">
        <f aca="false">ROUND((D15-C15)*1440,0)</f>
        <v>15</v>
      </c>
      <c r="F15" s="81" t="s">
        <v>529</v>
      </c>
      <c r="G15" s="82" t="s">
        <v>127</v>
      </c>
      <c r="H15" s="82" t="s">
        <v>343</v>
      </c>
      <c r="I15" s="84" t="s">
        <v>530</v>
      </c>
      <c r="J15" s="82" t="s">
        <v>531</v>
      </c>
      <c r="K15" s="82" t="s">
        <v>178</v>
      </c>
      <c r="L15" s="80" t="s">
        <v>32</v>
      </c>
    </row>
    <row r="16" customFormat="false" ht="33.75" hidden="false" customHeight="true" outlineLevel="0" collapsed="false">
      <c r="A16" s="92" t="s">
        <v>532</v>
      </c>
      <c r="B16" s="93" t="n">
        <f aca="false">制作工程表!$E$4</f>
        <v>46377</v>
      </c>
      <c r="C16" s="94" t="n">
        <v>0.5</v>
      </c>
      <c r="D16" s="94" t="n">
        <v>0.541666666666667</v>
      </c>
      <c r="E16" s="95" t="n">
        <f aca="false">ROUND((D16-C16)*1440,0)</f>
        <v>60</v>
      </c>
      <c r="F16" s="96" t="s">
        <v>533</v>
      </c>
      <c r="G16" s="96" t="s">
        <v>524</v>
      </c>
      <c r="H16" s="96" t="s">
        <v>525</v>
      </c>
      <c r="I16" s="97" t="s">
        <v>127</v>
      </c>
      <c r="J16" s="96" t="s">
        <v>534</v>
      </c>
      <c r="K16" s="96" t="s">
        <v>524</v>
      </c>
      <c r="L16" s="97" t="s">
        <v>32</v>
      </c>
    </row>
    <row r="17" customFormat="false" ht="33.75" hidden="false" customHeight="true" outlineLevel="0" collapsed="false">
      <c r="A17" s="101" t="s">
        <v>465</v>
      </c>
      <c r="B17" s="102" t="n">
        <f aca="false">制作工程表!$E$4</f>
        <v>46377</v>
      </c>
      <c r="C17" s="103" t="n">
        <v>0.541666666666667</v>
      </c>
      <c r="D17" s="103" t="n">
        <v>0.572916666666667</v>
      </c>
      <c r="E17" s="72" t="n">
        <f aca="false">ROUND((D17-C17)*1440,0)</f>
        <v>45</v>
      </c>
      <c r="F17" s="73" t="s">
        <v>535</v>
      </c>
      <c r="G17" s="74" t="s">
        <v>291</v>
      </c>
      <c r="H17" s="74" t="s">
        <v>536</v>
      </c>
      <c r="I17" s="88" t="s">
        <v>460</v>
      </c>
      <c r="J17" s="74" t="s">
        <v>537</v>
      </c>
      <c r="K17" s="74" t="s">
        <v>538</v>
      </c>
      <c r="L17" s="72" t="s">
        <v>32</v>
      </c>
    </row>
    <row r="18" customFormat="false" ht="33.75" hidden="false" customHeight="true" outlineLevel="0" collapsed="false">
      <c r="A18" s="98" t="s">
        <v>396</v>
      </c>
      <c r="B18" s="99" t="n">
        <f aca="false">制作工程表!$E$4</f>
        <v>46377</v>
      </c>
      <c r="C18" s="100" t="n">
        <v>0.572916666666667</v>
      </c>
      <c r="D18" s="100" t="n">
        <v>0.604166666666667</v>
      </c>
      <c r="E18" s="80" t="n">
        <f aca="false">ROUND((D18-C18)*1440,0)</f>
        <v>45</v>
      </c>
      <c r="F18" s="81" t="s">
        <v>539</v>
      </c>
      <c r="G18" s="82" t="s">
        <v>540</v>
      </c>
      <c r="H18" s="82" t="s">
        <v>541</v>
      </c>
      <c r="I18" s="84" t="s">
        <v>542</v>
      </c>
      <c r="J18" s="82" t="s">
        <v>543</v>
      </c>
      <c r="K18" s="82" t="s">
        <v>178</v>
      </c>
      <c r="L18" s="80" t="s">
        <v>32</v>
      </c>
    </row>
    <row r="19" customFormat="false" ht="33.75" hidden="false" customHeight="true" outlineLevel="0" collapsed="false">
      <c r="A19" s="101" t="s">
        <v>490</v>
      </c>
      <c r="B19" s="102" t="n">
        <f aca="false">制作工程表!$E$4</f>
        <v>46377</v>
      </c>
      <c r="C19" s="103" t="n">
        <v>0.604166666666667</v>
      </c>
      <c r="D19" s="103" t="n">
        <v>0.625</v>
      </c>
      <c r="E19" s="72" t="n">
        <f aca="false">ROUND((D19-C19)*1440,0)</f>
        <v>30</v>
      </c>
      <c r="F19" s="73" t="s">
        <v>484</v>
      </c>
      <c r="G19" s="74" t="s">
        <v>488</v>
      </c>
      <c r="H19" s="74" t="s">
        <v>489</v>
      </c>
      <c r="I19" s="88" t="s">
        <v>483</v>
      </c>
      <c r="J19" s="74" t="s">
        <v>492</v>
      </c>
      <c r="K19" s="74" t="s">
        <v>178</v>
      </c>
      <c r="L19" s="72" t="s">
        <v>32</v>
      </c>
    </row>
    <row r="20" customFormat="false" ht="33.75" hidden="false" customHeight="true" outlineLevel="0" collapsed="false">
      <c r="A20" s="92" t="s">
        <v>544</v>
      </c>
      <c r="B20" s="93" t="n">
        <f aca="false">制作工程表!$E$4</f>
        <v>46377</v>
      </c>
      <c r="C20" s="94" t="n">
        <v>0.625</v>
      </c>
      <c r="D20" s="94" t="n">
        <v>0.635416666666667</v>
      </c>
      <c r="E20" s="95" t="n">
        <f aca="false">ROUND((D20-C20)*1440,0)</f>
        <v>15</v>
      </c>
      <c r="F20" s="96" t="s">
        <v>523</v>
      </c>
      <c r="G20" s="96" t="s">
        <v>524</v>
      </c>
      <c r="H20" s="96" t="s">
        <v>525</v>
      </c>
      <c r="I20" s="97" t="s">
        <v>127</v>
      </c>
      <c r="J20" s="96" t="s">
        <v>545</v>
      </c>
      <c r="K20" s="96" t="s">
        <v>524</v>
      </c>
      <c r="L20" s="97" t="s">
        <v>32</v>
      </c>
    </row>
    <row r="21" customFormat="false" ht="33.75" hidden="false" customHeight="true" outlineLevel="0" collapsed="false">
      <c r="A21" s="98" t="s">
        <v>546</v>
      </c>
      <c r="B21" s="99" t="n">
        <f aca="false">制作工程表!$E$4</f>
        <v>46377</v>
      </c>
      <c r="C21" s="100" t="n">
        <v>0.635416666666667</v>
      </c>
      <c r="D21" s="100" t="n">
        <v>0.677083333333333</v>
      </c>
      <c r="E21" s="80" t="n">
        <f aca="false">ROUND((D21-C21)*1440,0)</f>
        <v>60</v>
      </c>
      <c r="F21" s="81" t="s">
        <v>547</v>
      </c>
      <c r="G21" s="82" t="s">
        <v>548</v>
      </c>
      <c r="H21" s="82" t="s">
        <v>549</v>
      </c>
      <c r="I21" s="104" t="s">
        <v>550</v>
      </c>
      <c r="J21" s="82" t="s">
        <v>551</v>
      </c>
      <c r="K21" s="82" t="s">
        <v>178</v>
      </c>
      <c r="L21" s="80" t="s">
        <v>32</v>
      </c>
    </row>
    <row r="22" customFormat="false" ht="33.75" hidden="false" customHeight="true" outlineLevel="0" collapsed="false">
      <c r="A22" s="92" t="s">
        <v>552</v>
      </c>
      <c r="B22" s="93" t="n">
        <f aca="false">制作工程表!$E$4</f>
        <v>46377</v>
      </c>
      <c r="C22" s="94" t="n">
        <v>0.677083333333333</v>
      </c>
      <c r="D22" s="94" t="n">
        <v>0.708333333333333</v>
      </c>
      <c r="E22" s="95" t="n">
        <f aca="false">ROUND((D22-C22)*1440,0)</f>
        <v>45</v>
      </c>
      <c r="F22" s="96" t="s">
        <v>553</v>
      </c>
      <c r="G22" s="96" t="s">
        <v>554</v>
      </c>
      <c r="H22" s="96" t="s">
        <v>512</v>
      </c>
      <c r="I22" s="97" t="s">
        <v>127</v>
      </c>
      <c r="J22" s="96" t="s">
        <v>555</v>
      </c>
      <c r="K22" s="96" t="s">
        <v>524</v>
      </c>
      <c r="L22" s="97" t="s">
        <v>32</v>
      </c>
    </row>
    <row r="23" customFormat="false" ht="33.75" hidden="false" customHeight="true" outlineLevel="0" collapsed="false">
      <c r="A23" s="92" t="s">
        <v>556</v>
      </c>
      <c r="B23" s="93" t="n">
        <f aca="false">制作工程表!$H$4</f>
        <v>46378</v>
      </c>
      <c r="C23" s="94" t="n">
        <v>0.333333333333333</v>
      </c>
      <c r="D23" s="94" t="n">
        <v>0.354166666666667</v>
      </c>
      <c r="E23" s="95" t="n">
        <f aca="false">ROUND((D23-C23)*1440,0)</f>
        <v>30</v>
      </c>
      <c r="F23" s="96" t="s">
        <v>510</v>
      </c>
      <c r="G23" s="96" t="s">
        <v>511</v>
      </c>
      <c r="H23" s="96" t="s">
        <v>440</v>
      </c>
      <c r="I23" s="97" t="s">
        <v>127</v>
      </c>
      <c r="J23" s="96" t="s">
        <v>557</v>
      </c>
      <c r="K23" s="96" t="s">
        <v>514</v>
      </c>
      <c r="L23" s="97" t="s">
        <v>32</v>
      </c>
    </row>
    <row r="24" customFormat="false" ht="33.75" hidden="false" customHeight="true" outlineLevel="0" collapsed="false">
      <c r="A24" s="101" t="s">
        <v>326</v>
      </c>
      <c r="B24" s="102" t="n">
        <f aca="false">制作工程表!$H$4</f>
        <v>46378</v>
      </c>
      <c r="C24" s="103" t="n">
        <v>0.354166666666667</v>
      </c>
      <c r="D24" s="103" t="n">
        <v>0.375</v>
      </c>
      <c r="E24" s="72" t="n">
        <f aca="false">ROUND((D24-C24)*1440,0)</f>
        <v>30</v>
      </c>
      <c r="F24" s="73" t="s">
        <v>321</v>
      </c>
      <c r="G24" s="74" t="s">
        <v>127</v>
      </c>
      <c r="H24" s="74" t="s">
        <v>325</v>
      </c>
      <c r="I24" s="88" t="s">
        <v>320</v>
      </c>
      <c r="J24" s="74" t="s">
        <v>558</v>
      </c>
      <c r="K24" s="74" t="s">
        <v>178</v>
      </c>
      <c r="L24" s="72" t="s">
        <v>32</v>
      </c>
    </row>
    <row r="25" customFormat="false" ht="33.75" hidden="false" customHeight="true" outlineLevel="0" collapsed="false">
      <c r="A25" s="98" t="s">
        <v>302</v>
      </c>
      <c r="B25" s="99" t="n">
        <f aca="false">制作工程表!$H$4</f>
        <v>46378</v>
      </c>
      <c r="C25" s="100" t="n">
        <v>0.375</v>
      </c>
      <c r="D25" s="100" t="n">
        <v>0.416666666666667</v>
      </c>
      <c r="E25" s="80" t="n">
        <f aca="false">ROUND((D25-C25)*1440,0)</f>
        <v>60</v>
      </c>
      <c r="F25" s="81" t="s">
        <v>559</v>
      </c>
      <c r="G25" s="82" t="s">
        <v>300</v>
      </c>
      <c r="H25" s="82" t="s">
        <v>301</v>
      </c>
      <c r="I25" s="84" t="s">
        <v>560</v>
      </c>
      <c r="J25" s="82" t="s">
        <v>561</v>
      </c>
      <c r="K25" s="82" t="s">
        <v>518</v>
      </c>
      <c r="L25" s="80" t="s">
        <v>32</v>
      </c>
    </row>
    <row r="26" customFormat="false" ht="33.75" hidden="false" customHeight="true" outlineLevel="0" collapsed="false">
      <c r="A26" s="101" t="s">
        <v>360</v>
      </c>
      <c r="B26" s="102" t="n">
        <f aca="false">制作工程表!$H$4</f>
        <v>46378</v>
      </c>
      <c r="C26" s="103" t="n">
        <v>0.416666666666667</v>
      </c>
      <c r="D26" s="103" t="n">
        <v>0.4375</v>
      </c>
      <c r="E26" s="72" t="n">
        <f aca="false">ROUND((D26-C26)*1440,0)</f>
        <v>30</v>
      </c>
      <c r="F26" s="73" t="s">
        <v>357</v>
      </c>
      <c r="G26" s="74" t="s">
        <v>300</v>
      </c>
      <c r="H26" s="74" t="s">
        <v>301</v>
      </c>
      <c r="I26" s="88" t="s">
        <v>356</v>
      </c>
      <c r="J26" s="74" t="s">
        <v>562</v>
      </c>
      <c r="K26" s="74" t="s">
        <v>178</v>
      </c>
      <c r="L26" s="72" t="s">
        <v>32</v>
      </c>
    </row>
    <row r="27" customFormat="false" ht="33.75" hidden="false" customHeight="true" outlineLevel="0" collapsed="false">
      <c r="A27" s="92" t="s">
        <v>563</v>
      </c>
      <c r="B27" s="93" t="n">
        <f aca="false">制作工程表!$H$4</f>
        <v>46378</v>
      </c>
      <c r="C27" s="94" t="n">
        <v>0.4375</v>
      </c>
      <c r="D27" s="94" t="n">
        <v>0.447916666666667</v>
      </c>
      <c r="E27" s="95" t="n">
        <f aca="false">ROUND((D27-C27)*1440,0)</f>
        <v>15</v>
      </c>
      <c r="F27" s="96" t="s">
        <v>523</v>
      </c>
      <c r="G27" s="96" t="s">
        <v>524</v>
      </c>
      <c r="H27" s="96" t="s">
        <v>564</v>
      </c>
      <c r="I27" s="97" t="s">
        <v>127</v>
      </c>
      <c r="J27" s="96" t="s">
        <v>526</v>
      </c>
      <c r="K27" s="96" t="s">
        <v>524</v>
      </c>
      <c r="L27" s="97" t="s">
        <v>32</v>
      </c>
    </row>
    <row r="28" customFormat="false" ht="33.75" hidden="false" customHeight="true" outlineLevel="0" collapsed="false">
      <c r="A28" s="98" t="s">
        <v>310</v>
      </c>
      <c r="B28" s="99" t="n">
        <f aca="false">制作工程表!$H$4</f>
        <v>46378</v>
      </c>
      <c r="C28" s="100" t="n">
        <v>0.447916666666667</v>
      </c>
      <c r="D28" s="100" t="n">
        <v>0.479166666666667</v>
      </c>
      <c r="E28" s="80" t="n">
        <f aca="false">ROUND((D28-C28)*1440,0)</f>
        <v>45</v>
      </c>
      <c r="F28" s="81" t="s">
        <v>565</v>
      </c>
      <c r="G28" s="82" t="s">
        <v>566</v>
      </c>
      <c r="H28" s="82" t="s">
        <v>263</v>
      </c>
      <c r="I28" s="84" t="s">
        <v>567</v>
      </c>
      <c r="J28" s="82" t="s">
        <v>312</v>
      </c>
      <c r="K28" s="82" t="s">
        <v>178</v>
      </c>
      <c r="L28" s="80" t="s">
        <v>32</v>
      </c>
    </row>
    <row r="29" customFormat="false" ht="33.75" hidden="false" customHeight="true" outlineLevel="0" collapsed="false">
      <c r="A29" s="101" t="s">
        <v>264</v>
      </c>
      <c r="B29" s="102" t="n">
        <f aca="false">制作工程表!$H$4</f>
        <v>46378</v>
      </c>
      <c r="C29" s="103" t="n">
        <v>0.479166666666667</v>
      </c>
      <c r="D29" s="103" t="n">
        <v>0.5</v>
      </c>
      <c r="E29" s="72" t="n">
        <f aca="false">ROUND((D29-C29)*1440,0)</f>
        <v>30</v>
      </c>
      <c r="F29" s="73" t="s">
        <v>568</v>
      </c>
      <c r="G29" s="74" t="s">
        <v>127</v>
      </c>
      <c r="H29" s="74" t="s">
        <v>263</v>
      </c>
      <c r="I29" s="88" t="s">
        <v>569</v>
      </c>
      <c r="J29" s="74" t="s">
        <v>416</v>
      </c>
      <c r="K29" s="74" t="s">
        <v>518</v>
      </c>
      <c r="L29" s="72" t="s">
        <v>32</v>
      </c>
    </row>
    <row r="30" customFormat="false" ht="33.75" hidden="false" customHeight="true" outlineLevel="0" collapsed="false">
      <c r="A30" s="92" t="s">
        <v>570</v>
      </c>
      <c r="B30" s="93" t="n">
        <f aca="false">制作工程表!$H$4</f>
        <v>46378</v>
      </c>
      <c r="C30" s="94" t="n">
        <v>0.5</v>
      </c>
      <c r="D30" s="94" t="n">
        <v>0.541666666666667</v>
      </c>
      <c r="E30" s="95" t="n">
        <f aca="false">ROUND((D30-C30)*1440,0)</f>
        <v>60</v>
      </c>
      <c r="F30" s="96" t="s">
        <v>533</v>
      </c>
      <c r="G30" s="96" t="s">
        <v>524</v>
      </c>
      <c r="H30" s="96" t="s">
        <v>564</v>
      </c>
      <c r="I30" s="97" t="s">
        <v>127</v>
      </c>
      <c r="J30" s="96" t="s">
        <v>571</v>
      </c>
      <c r="K30" s="96" t="s">
        <v>524</v>
      </c>
      <c r="L30" s="97" t="s">
        <v>32</v>
      </c>
    </row>
    <row r="31" customFormat="false" ht="33.75" hidden="false" customHeight="true" outlineLevel="0" collapsed="false">
      <c r="A31" s="98" t="s">
        <v>441</v>
      </c>
      <c r="B31" s="99" t="n">
        <f aca="false">制作工程表!$H$4</f>
        <v>46378</v>
      </c>
      <c r="C31" s="100" t="n">
        <v>0.541666666666667</v>
      </c>
      <c r="D31" s="100" t="n">
        <v>0.569444444444444</v>
      </c>
      <c r="E31" s="80" t="n">
        <f aca="false">ROUND((D31-C31)*1440,0)</f>
        <v>40</v>
      </c>
      <c r="F31" s="81" t="s">
        <v>572</v>
      </c>
      <c r="G31" s="82" t="s">
        <v>439</v>
      </c>
      <c r="H31" s="82" t="s">
        <v>573</v>
      </c>
      <c r="I31" s="84" t="s">
        <v>434</v>
      </c>
      <c r="J31" s="82" t="s">
        <v>574</v>
      </c>
      <c r="K31" s="82" t="s">
        <v>538</v>
      </c>
      <c r="L31" s="80" t="s">
        <v>32</v>
      </c>
    </row>
    <row r="32" customFormat="false" ht="33.75" hidden="false" customHeight="true" outlineLevel="0" collapsed="false">
      <c r="A32" s="101" t="s">
        <v>431</v>
      </c>
      <c r="B32" s="102" t="n">
        <f aca="false">制作工程表!$H$4</f>
        <v>46378</v>
      </c>
      <c r="C32" s="103" t="n">
        <v>0.569444444444444</v>
      </c>
      <c r="D32" s="103" t="n">
        <v>0.597222222222222</v>
      </c>
      <c r="E32" s="72" t="n">
        <f aca="false">ROUND((D32-C32)*1440,0)</f>
        <v>40</v>
      </c>
      <c r="F32" s="73" t="s">
        <v>575</v>
      </c>
      <c r="G32" s="74" t="s">
        <v>498</v>
      </c>
      <c r="H32" s="74" t="s">
        <v>430</v>
      </c>
      <c r="I32" s="88" t="s">
        <v>576</v>
      </c>
      <c r="J32" s="74" t="s">
        <v>577</v>
      </c>
      <c r="K32" s="74" t="s">
        <v>538</v>
      </c>
      <c r="L32" s="72" t="s">
        <v>32</v>
      </c>
    </row>
    <row r="33" customFormat="false" ht="33.75" hidden="false" customHeight="true" outlineLevel="0" collapsed="false">
      <c r="A33" s="98" t="s">
        <v>335</v>
      </c>
      <c r="B33" s="99" t="n">
        <f aca="false">制作工程表!$H$4</f>
        <v>46378</v>
      </c>
      <c r="C33" s="100" t="n">
        <v>0.597222222222222</v>
      </c>
      <c r="D33" s="100" t="n">
        <v>0.625</v>
      </c>
      <c r="E33" s="80" t="n">
        <f aca="false">ROUND((D33-C33)*1440,0)</f>
        <v>40</v>
      </c>
      <c r="F33" s="81" t="s">
        <v>578</v>
      </c>
      <c r="G33" s="82" t="s">
        <v>334</v>
      </c>
      <c r="H33" s="82" t="s">
        <v>579</v>
      </c>
      <c r="I33" s="84" t="s">
        <v>580</v>
      </c>
      <c r="J33" s="82" t="s">
        <v>574</v>
      </c>
      <c r="K33" s="82" t="s">
        <v>538</v>
      </c>
      <c r="L33" s="80" t="s">
        <v>32</v>
      </c>
    </row>
    <row r="34" customFormat="false" ht="33.75" hidden="false" customHeight="true" outlineLevel="0" collapsed="false">
      <c r="A34" s="92" t="s">
        <v>581</v>
      </c>
      <c r="B34" s="93" t="n">
        <f aca="false">制作工程表!$H$4</f>
        <v>46378</v>
      </c>
      <c r="C34" s="94" t="n">
        <v>0.625</v>
      </c>
      <c r="D34" s="94" t="n">
        <v>0.635416666666667</v>
      </c>
      <c r="E34" s="95" t="n">
        <f aca="false">ROUND((D34-C34)*1440,0)</f>
        <v>15</v>
      </c>
      <c r="F34" s="96" t="s">
        <v>523</v>
      </c>
      <c r="G34" s="96" t="s">
        <v>524</v>
      </c>
      <c r="H34" s="96" t="s">
        <v>564</v>
      </c>
      <c r="I34" s="97" t="s">
        <v>127</v>
      </c>
      <c r="J34" s="96" t="s">
        <v>582</v>
      </c>
      <c r="K34" s="96" t="s">
        <v>524</v>
      </c>
      <c r="L34" s="97" t="s">
        <v>32</v>
      </c>
    </row>
    <row r="35" customFormat="false" ht="33.75" hidden="false" customHeight="true" outlineLevel="0" collapsed="false">
      <c r="A35" s="101" t="s">
        <v>369</v>
      </c>
      <c r="B35" s="102" t="n">
        <f aca="false">制作工程表!$H$4</f>
        <v>46378</v>
      </c>
      <c r="C35" s="103" t="n">
        <v>0.635416666666667</v>
      </c>
      <c r="D35" s="103" t="n">
        <v>0.65625</v>
      </c>
      <c r="E35" s="72" t="n">
        <f aca="false">ROUND((D35-C35)*1440,0)</f>
        <v>30</v>
      </c>
      <c r="F35" s="73" t="s">
        <v>364</v>
      </c>
      <c r="G35" s="74" t="s">
        <v>309</v>
      </c>
      <c r="H35" s="74" t="s">
        <v>368</v>
      </c>
      <c r="I35" s="88" t="s">
        <v>363</v>
      </c>
      <c r="J35" s="74" t="s">
        <v>371</v>
      </c>
      <c r="K35" s="74" t="s">
        <v>178</v>
      </c>
      <c r="L35" s="72" t="s">
        <v>32</v>
      </c>
    </row>
    <row r="36" customFormat="false" ht="33.75" hidden="false" customHeight="true" outlineLevel="0" collapsed="false">
      <c r="A36" s="98" t="s">
        <v>583</v>
      </c>
      <c r="B36" s="99" t="n">
        <f aca="false">制作工程表!$H$4</f>
        <v>46378</v>
      </c>
      <c r="C36" s="100" t="n">
        <v>0.65625</v>
      </c>
      <c r="D36" s="100" t="n">
        <v>0.677083333333333</v>
      </c>
      <c r="E36" s="80" t="n">
        <f aca="false">ROUND((D36-C36)*1440,0)</f>
        <v>30</v>
      </c>
      <c r="F36" s="81" t="s">
        <v>547</v>
      </c>
      <c r="G36" s="82" t="s">
        <v>548</v>
      </c>
      <c r="H36" s="82" t="s">
        <v>584</v>
      </c>
      <c r="I36" s="104" t="s">
        <v>550</v>
      </c>
      <c r="J36" s="82" t="s">
        <v>585</v>
      </c>
      <c r="K36" s="82" t="s">
        <v>178</v>
      </c>
      <c r="L36" s="80" t="s">
        <v>32</v>
      </c>
    </row>
    <row r="37" customFormat="false" ht="33.75" hidden="false" customHeight="true" outlineLevel="0" collapsed="false">
      <c r="A37" s="92" t="s">
        <v>586</v>
      </c>
      <c r="B37" s="93" t="n">
        <f aca="false">制作工程表!$H$4</f>
        <v>46378</v>
      </c>
      <c r="C37" s="94" t="n">
        <v>0.677083333333333</v>
      </c>
      <c r="D37" s="94" t="n">
        <v>0.708333333333333</v>
      </c>
      <c r="E37" s="95" t="n">
        <f aca="false">ROUND((D37-C37)*1440,0)</f>
        <v>45</v>
      </c>
      <c r="F37" s="96" t="s">
        <v>553</v>
      </c>
      <c r="G37" s="96" t="s">
        <v>554</v>
      </c>
      <c r="H37" s="96" t="s">
        <v>440</v>
      </c>
      <c r="I37" s="97" t="s">
        <v>127</v>
      </c>
      <c r="J37" s="96" t="s">
        <v>587</v>
      </c>
      <c r="K37" s="96" t="s">
        <v>524</v>
      </c>
      <c r="L37" s="97" t="s">
        <v>32</v>
      </c>
    </row>
  </sheetData>
  <mergeCells count="3">
    <mergeCell ref="A4:L4"/>
    <mergeCell ref="A5:L5"/>
    <mergeCell ref="A6:L6"/>
  </mergeCells>
  <conditionalFormatting sqref="L9:L37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L9:L37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H5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.13"/>
    <col collapsed="false" customWidth="true" hidden="false" outlineLevel="0" max="2" min="2" style="1" width="14.38"/>
    <col collapsed="false" customWidth="true" hidden="false" outlineLevel="0" max="3" min="3" style="1" width="38.75"/>
    <col collapsed="false" customWidth="true" hidden="false" outlineLevel="0" max="4" min="4" style="1" width="30"/>
    <col collapsed="false" customWidth="true" hidden="false" outlineLevel="0" max="5" min="5" style="1" width="22.5"/>
    <col collapsed="false" customWidth="true" hidden="false" outlineLevel="0" max="6" min="6" style="1" width="13.13"/>
    <col collapsed="false" customWidth="true" hidden="false" outlineLevel="0" max="7" min="7" style="1" width="42.5"/>
    <col collapsed="false" customWidth="true" hidden="false" outlineLevel="0" max="8" min="8" style="1" width="11.89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  <c r="H1" s="61"/>
    </row>
    <row r="2" customFormat="false" ht="36" hidden="false" customHeight="true" outlineLevel="0" collapsed="false">
      <c r="A2" s="29" t="s">
        <v>588</v>
      </c>
      <c r="B2" s="61"/>
      <c r="C2" s="61"/>
      <c r="D2" s="61"/>
      <c r="E2" s="61"/>
      <c r="F2" s="61"/>
      <c r="G2" s="61"/>
      <c r="H2" s="61"/>
    </row>
    <row r="3" customFormat="false" ht="18" hidden="false" customHeight="true" outlineLevel="0" collapsed="false">
      <c r="A3" s="62" t="s">
        <v>589</v>
      </c>
      <c r="B3" s="63"/>
      <c r="C3" s="63"/>
      <c r="D3" s="63"/>
      <c r="E3" s="63"/>
      <c r="F3" s="63"/>
      <c r="G3" s="63"/>
      <c r="H3" s="63"/>
    </row>
    <row r="4" customFormat="false" ht="24.75" hidden="false" customHeight="true" outlineLevel="0" collapsed="false">
      <c r="A4" s="67" t="s">
        <v>590</v>
      </c>
      <c r="B4" s="67"/>
      <c r="C4" s="67"/>
      <c r="D4" s="67"/>
      <c r="E4" s="67"/>
      <c r="F4" s="67"/>
      <c r="G4" s="67"/>
      <c r="H4" s="67"/>
    </row>
    <row r="5" customFormat="false" ht="24.75" hidden="false" customHeight="true" outlineLevel="0" collapsed="false">
      <c r="A5" s="67" t="s">
        <v>591</v>
      </c>
      <c r="B5" s="67"/>
      <c r="C5" s="67"/>
      <c r="D5" s="67"/>
      <c r="E5" s="67"/>
      <c r="F5" s="67"/>
      <c r="G5" s="67"/>
      <c r="H5" s="67"/>
    </row>
    <row r="6" customFormat="false" ht="24.75" hidden="false" customHeight="true" outlineLevel="0" collapsed="false">
      <c r="A6" s="67" t="s">
        <v>592</v>
      </c>
      <c r="B6" s="67"/>
      <c r="C6" s="67"/>
      <c r="D6" s="67"/>
      <c r="E6" s="67"/>
      <c r="F6" s="67"/>
      <c r="G6" s="67"/>
      <c r="H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  <c r="H7" s="61"/>
    </row>
    <row r="8" customFormat="false" ht="33.75" hidden="false" customHeight="true" outlineLevel="0" collapsed="false">
      <c r="A8" s="69" t="s">
        <v>65</v>
      </c>
      <c r="B8" s="10" t="s">
        <v>70</v>
      </c>
      <c r="C8" s="10" t="s">
        <v>593</v>
      </c>
      <c r="D8" s="10" t="s">
        <v>594</v>
      </c>
      <c r="E8" s="10" t="s">
        <v>595</v>
      </c>
      <c r="F8" s="10" t="s">
        <v>596</v>
      </c>
      <c r="G8" s="10" t="s">
        <v>597</v>
      </c>
      <c r="H8" s="10" t="s">
        <v>98</v>
      </c>
    </row>
    <row r="9" customFormat="false" ht="36" hidden="false" customHeight="true" outlineLevel="0" collapsed="false">
      <c r="A9" s="71" t="s">
        <v>598</v>
      </c>
      <c r="B9" s="72" t="s">
        <v>599</v>
      </c>
      <c r="C9" s="73" t="s">
        <v>600</v>
      </c>
      <c r="D9" s="74" t="s">
        <v>124</v>
      </c>
      <c r="E9" s="74" t="s">
        <v>123</v>
      </c>
      <c r="F9" s="102" t="n">
        <f aca="false">WORKDAY(制作工程表!$B$4-1,7,制作工程表!$AG$9:$AG$40)</f>
        <v>46337</v>
      </c>
      <c r="G9" s="74" t="s">
        <v>601</v>
      </c>
      <c r="H9" s="72" t="s">
        <v>32</v>
      </c>
    </row>
    <row r="10" customFormat="false" ht="36" hidden="false" customHeight="true" outlineLevel="0" collapsed="false">
      <c r="A10" s="79" t="s">
        <v>602</v>
      </c>
      <c r="B10" s="80" t="s">
        <v>603</v>
      </c>
      <c r="C10" s="81" t="s">
        <v>604</v>
      </c>
      <c r="D10" s="82" t="s">
        <v>169</v>
      </c>
      <c r="E10" s="82" t="s">
        <v>189</v>
      </c>
      <c r="F10" s="99" t="n">
        <f aca="false">WORKDAY(制作工程表!$B$4-1,14,制作工程表!$AG$9:$AG$40)</f>
        <v>46346</v>
      </c>
      <c r="G10" s="82" t="s">
        <v>605</v>
      </c>
      <c r="H10" s="80" t="s">
        <v>32</v>
      </c>
    </row>
    <row r="11" customFormat="false" ht="36" hidden="false" customHeight="true" outlineLevel="0" collapsed="false">
      <c r="A11" s="71" t="s">
        <v>606</v>
      </c>
      <c r="B11" s="72" t="s">
        <v>380</v>
      </c>
      <c r="C11" s="73" t="s">
        <v>607</v>
      </c>
      <c r="D11" s="74" t="s">
        <v>608</v>
      </c>
      <c r="E11" s="74" t="s">
        <v>123</v>
      </c>
      <c r="F11" s="102" t="n">
        <f aca="false">WORKDAY(制作工程表!$B$4-1,14,制作工程表!$AG$9:$AG$40)</f>
        <v>46346</v>
      </c>
      <c r="G11" s="74" t="s">
        <v>609</v>
      </c>
      <c r="H11" s="72" t="s">
        <v>32</v>
      </c>
    </row>
    <row r="12" customFormat="false" ht="36" hidden="false" customHeight="true" outlineLevel="0" collapsed="false">
      <c r="A12" s="79" t="s">
        <v>610</v>
      </c>
      <c r="B12" s="80" t="s">
        <v>611</v>
      </c>
      <c r="C12" s="81" t="s">
        <v>612</v>
      </c>
      <c r="D12" s="82" t="s">
        <v>608</v>
      </c>
      <c r="E12" s="82" t="s">
        <v>212</v>
      </c>
      <c r="F12" s="99" t="n">
        <f aca="false">WORKDAY(制作工程表!$B$4-1,24,制作工程表!$AG$9:$AG$40)</f>
        <v>46363</v>
      </c>
      <c r="G12" s="82" t="s">
        <v>613</v>
      </c>
      <c r="H12" s="80" t="s">
        <v>32</v>
      </c>
    </row>
    <row r="13" customFormat="false" ht="36" hidden="false" customHeight="true" outlineLevel="0" collapsed="false">
      <c r="A13" s="71" t="s">
        <v>614</v>
      </c>
      <c r="B13" s="72" t="s">
        <v>506</v>
      </c>
      <c r="C13" s="73" t="s">
        <v>615</v>
      </c>
      <c r="D13" s="74" t="s">
        <v>124</v>
      </c>
      <c r="E13" s="74" t="s">
        <v>506</v>
      </c>
      <c r="F13" s="102" t="n">
        <f aca="false">WORKDAY(制作工程表!$B$4-1,24,制作工程表!$AG$9:$AG$40)</f>
        <v>46363</v>
      </c>
      <c r="G13" s="74" t="s">
        <v>616</v>
      </c>
      <c r="H13" s="72" t="s">
        <v>32</v>
      </c>
    </row>
    <row r="14" customFormat="false" ht="36" hidden="false" customHeight="true" outlineLevel="0" collapsed="false">
      <c r="A14" s="79" t="s">
        <v>617</v>
      </c>
      <c r="B14" s="80" t="s">
        <v>618</v>
      </c>
      <c r="C14" s="81" t="s">
        <v>619</v>
      </c>
      <c r="D14" s="82" t="s">
        <v>124</v>
      </c>
      <c r="E14" s="82" t="s">
        <v>620</v>
      </c>
      <c r="F14" s="99" t="n">
        <f aca="false">WORKDAY(制作工程表!$B$4-1,24,制作工程表!$AG$9:$AG$40)</f>
        <v>46363</v>
      </c>
      <c r="G14" s="82" t="s">
        <v>621</v>
      </c>
      <c r="H14" s="80" t="s">
        <v>32</v>
      </c>
    </row>
    <row r="15" customFormat="false" ht="36" hidden="false" customHeight="true" outlineLevel="0" collapsed="false">
      <c r="A15" s="71" t="s">
        <v>622</v>
      </c>
      <c r="B15" s="72" t="s">
        <v>623</v>
      </c>
      <c r="C15" s="73" t="s">
        <v>624</v>
      </c>
      <c r="D15" s="74" t="s">
        <v>169</v>
      </c>
      <c r="E15" s="74" t="s">
        <v>178</v>
      </c>
      <c r="F15" s="102" t="n">
        <f aca="false">WORKDAY(制作工程表!$B$4-1,24,制作工程表!$AG$9:$AG$40)</f>
        <v>46363</v>
      </c>
      <c r="G15" s="74" t="s">
        <v>625</v>
      </c>
      <c r="H15" s="72" t="s">
        <v>32</v>
      </c>
    </row>
    <row r="16" customFormat="false" ht="36" hidden="false" customHeight="true" outlineLevel="0" collapsed="false">
      <c r="A16" s="79" t="s">
        <v>626</v>
      </c>
      <c r="B16" s="80" t="s">
        <v>627</v>
      </c>
      <c r="C16" s="81" t="s">
        <v>628</v>
      </c>
      <c r="D16" s="82" t="s">
        <v>169</v>
      </c>
      <c r="E16" s="82" t="s">
        <v>123</v>
      </c>
      <c r="F16" s="99" t="n">
        <f aca="false">WORKDAY(制作工程表!$B$4-1,31,制作工程表!$AG$9:$AG$40)</f>
        <v>46372</v>
      </c>
      <c r="G16" s="82" t="s">
        <v>629</v>
      </c>
      <c r="H16" s="80" t="s">
        <v>32</v>
      </c>
    </row>
    <row r="17" customFormat="false" ht="36" hidden="false" customHeight="true" outlineLevel="0" collapsed="false">
      <c r="A17" s="71" t="s">
        <v>630</v>
      </c>
      <c r="B17" s="72" t="s">
        <v>631</v>
      </c>
      <c r="C17" s="73" t="s">
        <v>632</v>
      </c>
      <c r="D17" s="74" t="s">
        <v>124</v>
      </c>
      <c r="E17" s="74" t="s">
        <v>506</v>
      </c>
      <c r="F17" s="102" t="n">
        <f aca="false">WORKDAY(制作工程表!$B$4-1,31,制作工程表!$AG$9:$AG$40)</f>
        <v>46372</v>
      </c>
      <c r="G17" s="74" t="s">
        <v>633</v>
      </c>
      <c r="H17" s="72" t="s">
        <v>32</v>
      </c>
    </row>
    <row r="18" customFormat="false" ht="36" hidden="false" customHeight="true" outlineLevel="0" collapsed="false">
      <c r="A18" s="79" t="s">
        <v>634</v>
      </c>
      <c r="B18" s="80" t="s">
        <v>635</v>
      </c>
      <c r="C18" s="81" t="s">
        <v>636</v>
      </c>
      <c r="D18" s="82" t="s">
        <v>123</v>
      </c>
      <c r="E18" s="82" t="s">
        <v>124</v>
      </c>
      <c r="F18" s="99" t="n">
        <f aca="false">WORKDAY(制作工程表!$B$4-1,31,制作工程表!$AG$9:$AG$40)</f>
        <v>46372</v>
      </c>
      <c r="G18" s="82" t="s">
        <v>637</v>
      </c>
      <c r="H18" s="80" t="s">
        <v>32</v>
      </c>
    </row>
    <row r="19" customFormat="false" ht="36" hidden="false" customHeight="true" outlineLevel="0" collapsed="false">
      <c r="A19" s="71" t="s">
        <v>638</v>
      </c>
      <c r="B19" s="72" t="s">
        <v>639</v>
      </c>
      <c r="C19" s="73" t="s">
        <v>640</v>
      </c>
      <c r="D19" s="74" t="s">
        <v>124</v>
      </c>
      <c r="E19" s="74" t="s">
        <v>212</v>
      </c>
      <c r="F19" s="102" t="n">
        <f aca="false">WORKDAY(制作工程表!$B$4-1,40,制作工程表!$AG$9:$AG$40)</f>
        <v>46392</v>
      </c>
      <c r="G19" s="74" t="s">
        <v>641</v>
      </c>
      <c r="H19" s="72" t="s">
        <v>32</v>
      </c>
    </row>
    <row r="20" customFormat="false" ht="36" hidden="false" customHeight="true" outlineLevel="0" collapsed="false">
      <c r="A20" s="79" t="s">
        <v>642</v>
      </c>
      <c r="B20" s="80" t="s">
        <v>193</v>
      </c>
      <c r="C20" s="81" t="s">
        <v>643</v>
      </c>
      <c r="D20" s="82" t="s">
        <v>124</v>
      </c>
      <c r="E20" s="82" t="s">
        <v>157</v>
      </c>
      <c r="F20" s="99" t="n">
        <f aca="false">WORKDAY(制作工程表!$B$4-1,51,制作工程表!$AG$9:$AG$40)</f>
        <v>46408</v>
      </c>
      <c r="G20" s="82" t="s">
        <v>644</v>
      </c>
      <c r="H20" s="80" t="s">
        <v>32</v>
      </c>
    </row>
    <row r="21" customFormat="false" ht="36" hidden="false" customHeight="true" outlineLevel="0" collapsed="false">
      <c r="A21" s="71" t="s">
        <v>645</v>
      </c>
      <c r="B21" s="72" t="s">
        <v>646</v>
      </c>
      <c r="C21" s="73" t="s">
        <v>647</v>
      </c>
      <c r="D21" s="74" t="s">
        <v>124</v>
      </c>
      <c r="E21" s="74" t="s">
        <v>221</v>
      </c>
      <c r="F21" s="102" t="n">
        <f aca="false">WORKDAY(制作工程表!$B$4-1,59,制作工程表!$AG$9:$AG$40)</f>
        <v>46420</v>
      </c>
      <c r="G21" s="74" t="s">
        <v>648</v>
      </c>
      <c r="H21" s="72" t="s">
        <v>32</v>
      </c>
    </row>
    <row r="22" customFormat="false" ht="36" hidden="false" customHeight="true" outlineLevel="0" collapsed="false">
      <c r="A22" s="79" t="s">
        <v>649</v>
      </c>
      <c r="B22" s="80" t="s">
        <v>650</v>
      </c>
      <c r="C22" s="81" t="s">
        <v>651</v>
      </c>
      <c r="D22" s="82" t="s">
        <v>124</v>
      </c>
      <c r="E22" s="82" t="s">
        <v>212</v>
      </c>
      <c r="F22" s="99" t="n">
        <f aca="false">WORKDAY(制作工程表!$B$4-1,77,制作工程表!$AG$9:$AG$40)</f>
        <v>46448</v>
      </c>
      <c r="G22" s="82" t="s">
        <v>652</v>
      </c>
      <c r="H22" s="80" t="s">
        <v>32</v>
      </c>
    </row>
    <row r="25" customFormat="false" ht="27.75" hidden="false" customHeight="true" outlineLevel="0" collapsed="false">
      <c r="A25" s="9" t="s">
        <v>653</v>
      </c>
    </row>
    <row r="27" customFormat="false" ht="33.75" hidden="false" customHeight="true" outlineLevel="0" collapsed="false">
      <c r="A27" s="10" t="s">
        <v>654</v>
      </c>
      <c r="B27" s="10" t="s">
        <v>655</v>
      </c>
      <c r="C27" s="10" t="s">
        <v>656</v>
      </c>
      <c r="D27" s="10" t="s">
        <v>657</v>
      </c>
      <c r="E27" s="10" t="s">
        <v>658</v>
      </c>
      <c r="F27" s="10" t="s">
        <v>659</v>
      </c>
      <c r="G27" s="10" t="s">
        <v>660</v>
      </c>
    </row>
    <row r="28" customFormat="false" ht="39.75" hidden="false" customHeight="true" outlineLevel="0" collapsed="false">
      <c r="A28" s="73" t="s">
        <v>661</v>
      </c>
      <c r="B28" s="74" t="s">
        <v>662</v>
      </c>
      <c r="C28" s="72" t="s">
        <v>663</v>
      </c>
      <c r="D28" s="105" t="s">
        <v>664</v>
      </c>
      <c r="E28" s="74" t="s">
        <v>665</v>
      </c>
      <c r="F28" s="74" t="s">
        <v>666</v>
      </c>
      <c r="G28" s="74" t="s">
        <v>667</v>
      </c>
    </row>
    <row r="29" customFormat="false" ht="39.75" hidden="false" customHeight="true" outlineLevel="0" collapsed="false">
      <c r="A29" s="81" t="s">
        <v>169</v>
      </c>
      <c r="B29" s="82" t="s">
        <v>668</v>
      </c>
      <c r="C29" s="80" t="s">
        <v>669</v>
      </c>
      <c r="D29" s="83" t="s">
        <v>670</v>
      </c>
      <c r="E29" s="82" t="s">
        <v>671</v>
      </c>
      <c r="F29" s="82" t="s">
        <v>672</v>
      </c>
      <c r="G29" s="82" t="s">
        <v>673</v>
      </c>
    </row>
    <row r="30" customFormat="false" ht="39.75" hidden="false" customHeight="true" outlineLevel="0" collapsed="false">
      <c r="A30" s="73" t="s">
        <v>282</v>
      </c>
      <c r="B30" s="74" t="s">
        <v>674</v>
      </c>
      <c r="C30" s="72" t="s">
        <v>675</v>
      </c>
      <c r="D30" s="105" t="s">
        <v>676</v>
      </c>
      <c r="E30" s="74" t="s">
        <v>677</v>
      </c>
      <c r="F30" s="74" t="s">
        <v>678</v>
      </c>
      <c r="G30" s="74" t="s">
        <v>679</v>
      </c>
    </row>
    <row r="31" customFormat="false" ht="39.75" hidden="false" customHeight="true" outlineLevel="0" collapsed="false">
      <c r="A31" s="81" t="s">
        <v>291</v>
      </c>
      <c r="B31" s="82" t="s">
        <v>680</v>
      </c>
      <c r="C31" s="80" t="s">
        <v>675</v>
      </c>
      <c r="D31" s="83" t="s">
        <v>681</v>
      </c>
      <c r="E31" s="82" t="s">
        <v>682</v>
      </c>
      <c r="F31" s="82" t="s">
        <v>678</v>
      </c>
      <c r="G31" s="82" t="s">
        <v>683</v>
      </c>
    </row>
    <row r="32" customFormat="false" ht="39.75" hidden="false" customHeight="true" outlineLevel="0" collapsed="false">
      <c r="A32" s="73" t="s">
        <v>300</v>
      </c>
      <c r="B32" s="74" t="s">
        <v>684</v>
      </c>
      <c r="C32" s="72" t="s">
        <v>663</v>
      </c>
      <c r="D32" s="105" t="s">
        <v>685</v>
      </c>
      <c r="E32" s="74" t="s">
        <v>686</v>
      </c>
      <c r="F32" s="74" t="s">
        <v>687</v>
      </c>
      <c r="G32" s="74" t="s">
        <v>688</v>
      </c>
    </row>
    <row r="33" customFormat="false" ht="39.75" hidden="false" customHeight="true" outlineLevel="0" collapsed="false">
      <c r="A33" s="81" t="s">
        <v>309</v>
      </c>
      <c r="B33" s="82" t="s">
        <v>689</v>
      </c>
      <c r="C33" s="80" t="s">
        <v>663</v>
      </c>
      <c r="D33" s="83" t="s">
        <v>690</v>
      </c>
      <c r="E33" s="82" t="s">
        <v>691</v>
      </c>
      <c r="F33" s="82" t="s">
        <v>692</v>
      </c>
      <c r="G33" s="82" t="s">
        <v>693</v>
      </c>
    </row>
    <row r="34" customFormat="false" ht="39.75" hidden="false" customHeight="true" outlineLevel="0" collapsed="false">
      <c r="A34" s="73" t="s">
        <v>498</v>
      </c>
      <c r="B34" s="74" t="s">
        <v>694</v>
      </c>
      <c r="C34" s="72" t="s">
        <v>663</v>
      </c>
      <c r="D34" s="105" t="s">
        <v>695</v>
      </c>
      <c r="E34" s="74" t="s">
        <v>696</v>
      </c>
      <c r="F34" s="74" t="s">
        <v>697</v>
      </c>
      <c r="G34" s="74" t="s">
        <v>698</v>
      </c>
    </row>
    <row r="35" customFormat="false" ht="39.75" hidden="false" customHeight="true" outlineLevel="0" collapsed="false">
      <c r="A35" s="81" t="s">
        <v>456</v>
      </c>
      <c r="B35" s="82" t="s">
        <v>699</v>
      </c>
      <c r="C35" s="80" t="s">
        <v>663</v>
      </c>
      <c r="D35" s="83" t="s">
        <v>700</v>
      </c>
      <c r="E35" s="82" t="s">
        <v>701</v>
      </c>
      <c r="F35" s="82" t="s">
        <v>692</v>
      </c>
      <c r="G35" s="82" t="s">
        <v>702</v>
      </c>
    </row>
    <row r="38" customFormat="false" ht="27.75" hidden="false" customHeight="true" outlineLevel="0" collapsed="false">
      <c r="A38" s="9" t="s">
        <v>703</v>
      </c>
    </row>
    <row r="40" customFormat="false" ht="33.75" hidden="false" customHeight="true" outlineLevel="0" collapsed="false">
      <c r="A40" s="10" t="s">
        <v>704</v>
      </c>
      <c r="B40" s="10" t="s">
        <v>705</v>
      </c>
      <c r="C40" s="106" t="s">
        <v>706</v>
      </c>
    </row>
    <row r="41" customFormat="false" ht="25.5" hidden="false" customHeight="true" outlineLevel="0" collapsed="false">
      <c r="A41" s="107" t="s">
        <v>212</v>
      </c>
      <c r="B41" s="108" t="s">
        <v>256</v>
      </c>
      <c r="C41" s="109" t="s">
        <v>707</v>
      </c>
      <c r="D41" s="109"/>
      <c r="E41" s="109"/>
      <c r="F41" s="109"/>
      <c r="G41" s="109"/>
      <c r="H41" s="109"/>
    </row>
    <row r="42" customFormat="false" ht="25.5" hidden="false" customHeight="true" outlineLevel="0" collapsed="false">
      <c r="A42" s="110" t="s">
        <v>212</v>
      </c>
      <c r="B42" s="111" t="s">
        <v>268</v>
      </c>
      <c r="C42" s="112" t="s">
        <v>708</v>
      </c>
      <c r="D42" s="112"/>
      <c r="E42" s="112"/>
      <c r="F42" s="112"/>
      <c r="G42" s="112"/>
      <c r="H42" s="112"/>
    </row>
    <row r="43" customFormat="false" ht="25.5" hidden="false" customHeight="true" outlineLevel="0" collapsed="false">
      <c r="A43" s="107" t="s">
        <v>212</v>
      </c>
      <c r="B43" s="108" t="s">
        <v>276</v>
      </c>
      <c r="C43" s="109" t="s">
        <v>709</v>
      </c>
      <c r="D43" s="109"/>
      <c r="E43" s="109"/>
      <c r="F43" s="109"/>
      <c r="G43" s="109"/>
      <c r="H43" s="109"/>
    </row>
    <row r="44" customFormat="false" ht="25.5" hidden="false" customHeight="true" outlineLevel="0" collapsed="false">
      <c r="A44" s="110" t="s">
        <v>212</v>
      </c>
      <c r="B44" s="111" t="s">
        <v>287</v>
      </c>
      <c r="C44" s="112" t="s">
        <v>710</v>
      </c>
      <c r="D44" s="112"/>
      <c r="E44" s="112"/>
      <c r="F44" s="112"/>
      <c r="G44" s="112"/>
      <c r="H44" s="112"/>
    </row>
    <row r="45" customFormat="false" ht="25.5" hidden="false" customHeight="true" outlineLevel="0" collapsed="false">
      <c r="A45" s="107" t="s">
        <v>212</v>
      </c>
      <c r="B45" s="108" t="s">
        <v>296</v>
      </c>
      <c r="C45" s="109" t="s">
        <v>711</v>
      </c>
      <c r="D45" s="109"/>
      <c r="E45" s="109"/>
      <c r="F45" s="109"/>
      <c r="G45" s="109"/>
      <c r="H45" s="109"/>
    </row>
    <row r="46" customFormat="false" ht="25.5" hidden="false" customHeight="true" outlineLevel="0" collapsed="false">
      <c r="A46" s="110" t="s">
        <v>169</v>
      </c>
      <c r="B46" s="111" t="s">
        <v>256</v>
      </c>
      <c r="C46" s="112" t="s">
        <v>712</v>
      </c>
      <c r="D46" s="112"/>
      <c r="E46" s="112"/>
      <c r="F46" s="112"/>
      <c r="G46" s="112"/>
      <c r="H46" s="112"/>
    </row>
    <row r="47" customFormat="false" ht="25.5" hidden="false" customHeight="true" outlineLevel="0" collapsed="false">
      <c r="A47" s="107" t="s">
        <v>169</v>
      </c>
      <c r="B47" s="108" t="s">
        <v>268</v>
      </c>
      <c r="C47" s="109" t="s">
        <v>713</v>
      </c>
      <c r="D47" s="109"/>
      <c r="E47" s="109"/>
      <c r="F47" s="109"/>
      <c r="G47" s="109"/>
      <c r="H47" s="109"/>
    </row>
    <row r="48" customFormat="false" ht="25.5" hidden="false" customHeight="true" outlineLevel="0" collapsed="false">
      <c r="A48" s="110" t="s">
        <v>169</v>
      </c>
      <c r="B48" s="111" t="s">
        <v>276</v>
      </c>
      <c r="C48" s="112" t="s">
        <v>714</v>
      </c>
      <c r="D48" s="112"/>
      <c r="E48" s="112"/>
      <c r="F48" s="112"/>
      <c r="G48" s="112"/>
      <c r="H48" s="112"/>
    </row>
    <row r="49" customFormat="false" ht="25.5" hidden="false" customHeight="true" outlineLevel="0" collapsed="false">
      <c r="A49" s="107" t="s">
        <v>169</v>
      </c>
      <c r="B49" s="108" t="s">
        <v>287</v>
      </c>
      <c r="C49" s="109" t="s">
        <v>715</v>
      </c>
      <c r="D49" s="109"/>
      <c r="E49" s="109"/>
      <c r="F49" s="109"/>
      <c r="G49" s="109"/>
      <c r="H49" s="109"/>
    </row>
    <row r="50" customFormat="false" ht="25.5" hidden="false" customHeight="true" outlineLevel="0" collapsed="false">
      <c r="A50" s="110" t="s">
        <v>291</v>
      </c>
      <c r="B50" s="111" t="s">
        <v>256</v>
      </c>
      <c r="C50" s="112" t="s">
        <v>716</v>
      </c>
      <c r="D50" s="112"/>
      <c r="E50" s="112"/>
      <c r="F50" s="112"/>
      <c r="G50" s="112"/>
      <c r="H50" s="112"/>
    </row>
    <row r="51" customFormat="false" ht="25.5" hidden="false" customHeight="true" outlineLevel="0" collapsed="false">
      <c r="A51" s="107" t="s">
        <v>291</v>
      </c>
      <c r="B51" s="108" t="s">
        <v>268</v>
      </c>
      <c r="C51" s="109" t="s">
        <v>717</v>
      </c>
      <c r="D51" s="109"/>
      <c r="E51" s="109"/>
      <c r="F51" s="109"/>
      <c r="G51" s="109"/>
      <c r="H51" s="109"/>
    </row>
    <row r="52" customFormat="false" ht="25.5" hidden="false" customHeight="true" outlineLevel="0" collapsed="false">
      <c r="A52" s="110" t="s">
        <v>291</v>
      </c>
      <c r="B52" s="111" t="s">
        <v>276</v>
      </c>
      <c r="C52" s="112" t="s">
        <v>718</v>
      </c>
      <c r="D52" s="112"/>
      <c r="E52" s="112"/>
      <c r="F52" s="112"/>
      <c r="G52" s="112"/>
      <c r="H52" s="112"/>
    </row>
    <row r="53" customFormat="false" ht="25.5" hidden="false" customHeight="true" outlineLevel="0" collapsed="false">
      <c r="A53" s="107" t="s">
        <v>456</v>
      </c>
      <c r="B53" s="108" t="s">
        <v>256</v>
      </c>
      <c r="C53" s="109" t="s">
        <v>719</v>
      </c>
      <c r="D53" s="109"/>
      <c r="E53" s="109"/>
      <c r="F53" s="109"/>
      <c r="G53" s="109"/>
      <c r="H53" s="109"/>
    </row>
    <row r="54" customFormat="false" ht="25.5" hidden="false" customHeight="true" outlineLevel="0" collapsed="false">
      <c r="A54" s="110" t="s">
        <v>456</v>
      </c>
      <c r="B54" s="111" t="s">
        <v>268</v>
      </c>
      <c r="C54" s="112" t="s">
        <v>720</v>
      </c>
      <c r="D54" s="112"/>
      <c r="E54" s="112"/>
      <c r="F54" s="112"/>
      <c r="G54" s="112"/>
      <c r="H54" s="112"/>
    </row>
    <row r="55" customFormat="false" ht="25.5" hidden="false" customHeight="true" outlineLevel="0" collapsed="false">
      <c r="A55" s="107" t="s">
        <v>456</v>
      </c>
      <c r="B55" s="108" t="s">
        <v>276</v>
      </c>
      <c r="C55" s="109" t="s">
        <v>721</v>
      </c>
      <c r="D55" s="109"/>
      <c r="E55" s="109"/>
      <c r="F55" s="109"/>
      <c r="G55" s="109"/>
      <c r="H55" s="109"/>
    </row>
    <row r="56" customFormat="false" ht="25.5" hidden="false" customHeight="true" outlineLevel="0" collapsed="false">
      <c r="A56" s="110" t="s">
        <v>456</v>
      </c>
      <c r="B56" s="111" t="s">
        <v>287</v>
      </c>
      <c r="C56" s="112" t="s">
        <v>722</v>
      </c>
      <c r="D56" s="112"/>
      <c r="E56" s="112"/>
      <c r="F56" s="112"/>
      <c r="G56" s="112"/>
      <c r="H56" s="112"/>
    </row>
    <row r="57" customFormat="false" ht="25.5" hidden="false" customHeight="true" outlineLevel="0" collapsed="false">
      <c r="A57" s="107" t="s">
        <v>456</v>
      </c>
      <c r="B57" s="108" t="s">
        <v>296</v>
      </c>
      <c r="C57" s="109" t="s">
        <v>723</v>
      </c>
      <c r="D57" s="109"/>
      <c r="E57" s="109"/>
      <c r="F57" s="109"/>
      <c r="G57" s="109"/>
      <c r="H57" s="109"/>
    </row>
  </sheetData>
  <mergeCells count="20">
    <mergeCell ref="A4:H4"/>
    <mergeCell ref="A5:H5"/>
    <mergeCell ref="A6:H6"/>
    <mergeCell ref="C41:H41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</mergeCells>
  <conditionalFormatting sqref="H9:H22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true" errorStyle="stop" operator="between" showDropDown="false" showErrorMessage="false" showInputMessage="false" sqref="H9:H22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.25"/>
    <col collapsed="false" customWidth="true" hidden="false" outlineLevel="0" max="2" min="2" style="1" width="22.5"/>
    <col collapsed="false" customWidth="true" hidden="false" outlineLevel="0" max="3" min="3" style="1" width="40.63"/>
    <col collapsed="false" customWidth="true" hidden="false" outlineLevel="0" max="4" min="4" style="1" width="42.5"/>
    <col collapsed="false" customWidth="true" hidden="false" outlineLevel="0" max="5" min="5" style="1" width="15.63"/>
    <col collapsed="false" customWidth="true" hidden="false" outlineLevel="0" max="6" min="6" style="1" width="37.5"/>
    <col collapsed="false" customWidth="true" hidden="false" outlineLevel="0" max="7" min="7" style="1" width="25"/>
  </cols>
  <sheetData>
    <row r="1" customFormat="false" ht="6" hidden="false" customHeight="true" outlineLevel="0" collapsed="false">
      <c r="A1" s="60"/>
      <c r="B1" s="60"/>
      <c r="C1" s="61"/>
      <c r="D1" s="61"/>
      <c r="E1" s="61"/>
      <c r="F1" s="61"/>
      <c r="G1" s="61"/>
    </row>
    <row r="2" customFormat="false" ht="36" hidden="false" customHeight="true" outlineLevel="0" collapsed="false">
      <c r="A2" s="90" t="s">
        <v>724</v>
      </c>
      <c r="B2" s="61"/>
      <c r="C2" s="61"/>
      <c r="D2" s="61"/>
      <c r="E2" s="61"/>
      <c r="F2" s="61"/>
      <c r="G2" s="61"/>
    </row>
    <row r="3" customFormat="false" ht="18" hidden="false" customHeight="true" outlineLevel="0" collapsed="false">
      <c r="A3" s="62" t="s">
        <v>725</v>
      </c>
      <c r="B3" s="63"/>
      <c r="C3" s="63"/>
      <c r="D3" s="63"/>
      <c r="E3" s="63"/>
      <c r="F3" s="63"/>
      <c r="G3" s="63"/>
    </row>
    <row r="4" customFormat="false" ht="24.75" hidden="false" customHeight="true" outlineLevel="0" collapsed="false">
      <c r="A4" s="67" t="s">
        <v>726</v>
      </c>
      <c r="B4" s="67"/>
      <c r="C4" s="67"/>
      <c r="D4" s="67"/>
      <c r="E4" s="67"/>
      <c r="F4" s="67"/>
      <c r="G4" s="67"/>
    </row>
    <row r="5" customFormat="false" ht="24.75" hidden="false" customHeight="true" outlineLevel="0" collapsed="false">
      <c r="A5" s="67" t="s">
        <v>727</v>
      </c>
      <c r="B5" s="67"/>
      <c r="C5" s="67"/>
      <c r="D5" s="67"/>
      <c r="E5" s="67"/>
      <c r="F5" s="67"/>
      <c r="G5" s="67"/>
    </row>
    <row r="6" customFormat="false" ht="24.75" hidden="false" customHeight="true" outlineLevel="0" collapsed="false">
      <c r="A6" s="67" t="s">
        <v>728</v>
      </c>
      <c r="B6" s="67"/>
      <c r="C6" s="67"/>
      <c r="D6" s="67"/>
      <c r="E6" s="67"/>
      <c r="F6" s="67"/>
      <c r="G6" s="67"/>
    </row>
    <row r="7" customFormat="false" ht="15" hidden="false" customHeight="true" outlineLevel="0" collapsed="false">
      <c r="A7" s="61"/>
      <c r="B7" s="61"/>
      <c r="C7" s="61"/>
      <c r="D7" s="61"/>
      <c r="E7" s="61"/>
      <c r="F7" s="61"/>
      <c r="G7" s="61"/>
    </row>
    <row r="8" customFormat="false" ht="33.75" hidden="false" customHeight="true" outlineLevel="0" collapsed="false">
      <c r="A8" s="10" t="s">
        <v>729</v>
      </c>
      <c r="B8" s="10" t="s">
        <v>730</v>
      </c>
      <c r="C8" s="10" t="s">
        <v>731</v>
      </c>
      <c r="D8" s="10" t="s">
        <v>732</v>
      </c>
      <c r="E8" s="10" t="s">
        <v>243</v>
      </c>
      <c r="F8" s="10" t="s">
        <v>733</v>
      </c>
      <c r="G8" s="10" t="s">
        <v>734</v>
      </c>
    </row>
    <row r="9" customFormat="false" ht="39.75" hidden="false" customHeight="true" outlineLevel="0" collapsed="false">
      <c r="A9" s="87" t="s">
        <v>256</v>
      </c>
      <c r="B9" s="73" t="s">
        <v>258</v>
      </c>
      <c r="C9" s="73" t="s">
        <v>735</v>
      </c>
      <c r="D9" s="74" t="s">
        <v>736</v>
      </c>
      <c r="E9" s="88" t="s">
        <v>737</v>
      </c>
      <c r="F9" s="74" t="s">
        <v>738</v>
      </c>
      <c r="G9" s="74" t="s">
        <v>739</v>
      </c>
    </row>
    <row r="10" customFormat="false" ht="39.75" hidden="false" customHeight="true" outlineLevel="0" collapsed="false">
      <c r="A10" s="89" t="s">
        <v>268</v>
      </c>
      <c r="B10" s="113" t="s">
        <v>349</v>
      </c>
      <c r="C10" s="81" t="s">
        <v>740</v>
      </c>
      <c r="D10" s="86" t="s">
        <v>741</v>
      </c>
      <c r="E10" s="84" t="s">
        <v>742</v>
      </c>
      <c r="F10" s="82" t="s">
        <v>743</v>
      </c>
      <c r="G10" s="82" t="s">
        <v>744</v>
      </c>
    </row>
    <row r="11" customFormat="false" ht="39.75" hidden="false" customHeight="true" outlineLevel="0" collapsed="false">
      <c r="A11" s="87" t="s">
        <v>276</v>
      </c>
      <c r="B11" s="73" t="s">
        <v>380</v>
      </c>
      <c r="C11" s="73" t="s">
        <v>745</v>
      </c>
      <c r="D11" s="74" t="s">
        <v>746</v>
      </c>
      <c r="E11" s="88" t="s">
        <v>747</v>
      </c>
      <c r="F11" s="74" t="s">
        <v>748</v>
      </c>
      <c r="G11" s="74" t="s">
        <v>749</v>
      </c>
    </row>
    <row r="12" customFormat="false" ht="39.75" hidden="false" customHeight="true" outlineLevel="0" collapsed="false">
      <c r="A12" s="89" t="s">
        <v>287</v>
      </c>
      <c r="B12" s="113" t="s">
        <v>750</v>
      </c>
      <c r="C12" s="81" t="s">
        <v>751</v>
      </c>
      <c r="D12" s="86" t="s">
        <v>752</v>
      </c>
      <c r="E12" s="84" t="s">
        <v>753</v>
      </c>
      <c r="F12" s="82" t="s">
        <v>404</v>
      </c>
      <c r="G12" s="82" t="s">
        <v>749</v>
      </c>
    </row>
    <row r="13" customFormat="false" ht="39.75" hidden="false" customHeight="true" outlineLevel="0" collapsed="false">
      <c r="A13" s="87" t="s">
        <v>296</v>
      </c>
      <c r="B13" s="73" t="s">
        <v>436</v>
      </c>
      <c r="C13" s="73" t="s">
        <v>754</v>
      </c>
      <c r="D13" s="74" t="s">
        <v>755</v>
      </c>
      <c r="E13" s="88" t="s">
        <v>756</v>
      </c>
      <c r="F13" s="74" t="s">
        <v>757</v>
      </c>
      <c r="G13" s="74" t="s">
        <v>758</v>
      </c>
    </row>
    <row r="14" customFormat="false" ht="39.75" hidden="false" customHeight="true" outlineLevel="0" collapsed="false">
      <c r="A14" s="89" t="s">
        <v>305</v>
      </c>
      <c r="B14" s="113" t="s">
        <v>453</v>
      </c>
      <c r="C14" s="81" t="s">
        <v>759</v>
      </c>
      <c r="D14" s="86" t="s">
        <v>760</v>
      </c>
      <c r="E14" s="84" t="s">
        <v>761</v>
      </c>
      <c r="F14" s="82" t="s">
        <v>762</v>
      </c>
      <c r="G14" s="82" t="s">
        <v>763</v>
      </c>
    </row>
    <row r="15" customFormat="false" ht="39.75" hidden="false" customHeight="true" outlineLevel="0" collapsed="false">
      <c r="A15" s="87" t="s">
        <v>313</v>
      </c>
      <c r="B15" s="73" t="s">
        <v>495</v>
      </c>
      <c r="C15" s="73" t="s">
        <v>764</v>
      </c>
      <c r="D15" s="74" t="s">
        <v>765</v>
      </c>
      <c r="E15" s="88" t="s">
        <v>493</v>
      </c>
      <c r="F15" s="74" t="s">
        <v>766</v>
      </c>
      <c r="G15" s="74" t="s">
        <v>767</v>
      </c>
    </row>
  </sheetData>
  <mergeCells count="3">
    <mergeCell ref="A4:G4"/>
    <mergeCell ref="A5:G5"/>
    <mergeCell ref="A6:G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C2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1" width="40"/>
  </cols>
  <sheetData>
    <row r="1" customFormat="false" ht="39.75" hidden="false" customHeight="true" outlineLevel="0" collapsed="false">
      <c r="A1" s="61"/>
      <c r="B1" s="61"/>
      <c r="C1" s="61"/>
    </row>
    <row r="2" customFormat="false" ht="36" hidden="false" customHeight="true" outlineLevel="0" collapsed="false">
      <c r="A2" s="114" t="s">
        <v>768</v>
      </c>
      <c r="B2" s="114"/>
      <c r="C2" s="114"/>
    </row>
    <row r="3" customFormat="false" ht="39.75" hidden="false" customHeight="true" outlineLevel="0" collapsed="false">
      <c r="A3" s="30" t="s">
        <v>769</v>
      </c>
      <c r="B3" s="61"/>
      <c r="C3" s="61"/>
    </row>
    <row r="4" customFormat="false" ht="39.75" hidden="false" customHeight="true" outlineLevel="0" collapsed="false">
      <c r="A4" s="67" t="s">
        <v>770</v>
      </c>
      <c r="B4" s="67"/>
      <c r="C4" s="67"/>
    </row>
    <row r="5" customFormat="false" ht="39.75" hidden="false" customHeight="true" outlineLevel="0" collapsed="false">
      <c r="A5" s="67"/>
      <c r="B5" s="67"/>
      <c r="C5" s="67"/>
    </row>
    <row r="7" customFormat="false" ht="30" hidden="false" customHeight="true" outlineLevel="0" collapsed="false">
      <c r="A7" s="69" t="s">
        <v>771</v>
      </c>
      <c r="B7" s="69" t="s">
        <v>772</v>
      </c>
      <c r="C7" s="69" t="s">
        <v>773</v>
      </c>
    </row>
    <row r="8" customFormat="false" ht="146.25" hidden="false" customHeight="true" outlineLevel="0" collapsed="false">
      <c r="A8" s="61"/>
      <c r="B8" s="61"/>
      <c r="C8" s="61"/>
    </row>
    <row r="9" customFormat="false" ht="45" hidden="false" customHeight="true" outlineLevel="0" collapsed="false">
      <c r="A9" s="115" t="s">
        <v>774</v>
      </c>
      <c r="B9" s="115" t="s">
        <v>775</v>
      </c>
      <c r="C9" s="115" t="s">
        <v>775</v>
      </c>
    </row>
    <row r="11" customFormat="false" ht="30" hidden="false" customHeight="true" outlineLevel="0" collapsed="false">
      <c r="A11" s="69" t="s">
        <v>776</v>
      </c>
      <c r="B11" s="69" t="s">
        <v>777</v>
      </c>
      <c r="C11" s="69" t="s">
        <v>778</v>
      </c>
    </row>
    <row r="12" customFormat="false" ht="146.25" hidden="false" customHeight="true" outlineLevel="0" collapsed="false">
      <c r="A12" s="61"/>
      <c r="B12" s="61"/>
      <c r="C12" s="61"/>
    </row>
    <row r="13" customFormat="false" ht="45" hidden="false" customHeight="true" outlineLevel="0" collapsed="false">
      <c r="A13" s="115" t="s">
        <v>775</v>
      </c>
      <c r="B13" s="115" t="s">
        <v>775</v>
      </c>
      <c r="C13" s="115" t="s">
        <v>779</v>
      </c>
    </row>
    <row r="15" customFormat="false" ht="30" hidden="false" customHeight="true" outlineLevel="0" collapsed="false">
      <c r="A15" s="69" t="s">
        <v>780</v>
      </c>
      <c r="B15" s="69" t="s">
        <v>781</v>
      </c>
      <c r="C15" s="69" t="s">
        <v>782</v>
      </c>
    </row>
    <row r="16" customFormat="false" ht="146.25" hidden="false" customHeight="true" outlineLevel="0" collapsed="false">
      <c r="A16" s="61"/>
      <c r="B16" s="61"/>
      <c r="C16" s="61"/>
    </row>
    <row r="17" customFormat="false" ht="45" hidden="false" customHeight="true" outlineLevel="0" collapsed="false">
      <c r="A17" s="115" t="s">
        <v>783</v>
      </c>
      <c r="B17" s="115" t="s">
        <v>784</v>
      </c>
      <c r="C17" s="115" t="s">
        <v>785</v>
      </c>
    </row>
    <row r="19" customFormat="false" ht="30" hidden="false" customHeight="true" outlineLevel="0" collapsed="false">
      <c r="A19" s="69" t="s">
        <v>786</v>
      </c>
      <c r="B19" s="69" t="s">
        <v>787</v>
      </c>
      <c r="C19" s="69" t="s">
        <v>788</v>
      </c>
    </row>
    <row r="20" customFormat="false" ht="146.25" hidden="false" customHeight="true" outlineLevel="0" collapsed="false">
      <c r="A20" s="61"/>
      <c r="B20" s="61"/>
      <c r="C20" s="61"/>
    </row>
    <row r="21" customFormat="false" ht="45" hidden="false" customHeight="true" outlineLevel="0" collapsed="false">
      <c r="A21" s="115" t="s">
        <v>789</v>
      </c>
      <c r="B21" s="115" t="s">
        <v>790</v>
      </c>
      <c r="C21" s="115" t="s">
        <v>791</v>
      </c>
    </row>
    <row r="23" customFormat="false" ht="30" hidden="false" customHeight="true" outlineLevel="0" collapsed="false">
      <c r="A23" s="69" t="s">
        <v>792</v>
      </c>
      <c r="B23" s="69"/>
      <c r="C23" s="69"/>
    </row>
    <row r="24" customFormat="false" ht="146.25" hidden="false" customHeight="true" outlineLevel="0" collapsed="false">
      <c r="A24" s="61"/>
      <c r="B24" s="61"/>
      <c r="C24" s="61"/>
    </row>
    <row r="25" customFormat="false" ht="45" hidden="false" customHeight="true" outlineLevel="0" collapsed="false">
      <c r="A25" s="115" t="s">
        <v>793</v>
      </c>
      <c r="B25" s="115"/>
      <c r="C25" s="115"/>
    </row>
  </sheetData>
  <mergeCells count="2">
    <mergeCell ref="A2:C2"/>
    <mergeCell ref="A4:C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2026-10-09T04:54:59Z</dcterms:created>
  <dc:creator>openpyxl</dc:creator>
  <dc:description/>
  <dc:language>en-US</dc:language>
  <cp:lastModifiedBy/>
  <dcterms:modified xsi:type="dcterms:W3CDTF">2026-10-13T02:14:13Z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