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9.jpeg" ContentType="image/jpeg"/>
  <Override PartName="/xl/media/image12.jpeg" ContentType="image/jpeg"/>
  <Override PartName="/xl/media/image15.jpeg" ContentType="image/jpeg"/>
  <Override PartName="/xl/media/image14.jpeg" ContentType="image/jpeg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media/image5.jpeg" ContentType="image/jpeg"/>
  <Override PartName="/xl/media/image6.jpeg" ContentType="image/jpeg"/>
  <Override PartName="/xl/media/image10.jpeg" ContentType="image/jpeg"/>
  <Override PartName="/xl/media/image7.jpeg" ContentType="image/jpeg"/>
  <Override PartName="/xl/media/image11.jpeg" ContentType="image/jpeg"/>
  <Override PartName="/xl/media/image8.jpeg" ContentType="image/jpeg"/>
  <Override PartName="/xl/media/image1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紙" sheetId="1" state="visible" r:id="rId3"/>
    <sheet name="スケジュール" sheetId="2" state="visible" r:id="rId4"/>
    <sheet name="制作工程表" sheetId="3" state="visible" r:id="rId5"/>
    <sheet name="撮影指示書" sheetId="4" state="visible" r:id="rId6"/>
    <sheet name="撮影香盤表" sheetId="5" state="visible" r:id="rId7"/>
    <sheet name="事前準備・出演者" sheetId="6" state="visible" r:id="rId8"/>
    <sheet name="サイト構成" sheetId="7" state="visible" r:id="rId9"/>
    <sheet name="写真カット見本" sheetId="8" state="visible" r:id="rId10"/>
  </sheets>
  <definedNames>
    <definedName function="false" hidden="false" localSheetId="6" name="_xlnm.Print_Titles" vbProcedure="false">サイト構成!$8:$8</definedName>
    <definedName function="false" hidden="false" localSheetId="1" name="_xlnm.Print_Titles" vbProcedure="false">スケジュール!$6:$9</definedName>
    <definedName function="false" hidden="false" localSheetId="5" name="_xlnm.Print_Titles" vbProcedure="false">事前準備・出演者!$8:$8</definedName>
    <definedName function="false" hidden="false" localSheetId="2" name="_xlnm.Print_Titles" vbProcedure="false">制作工程表!$8:$8</definedName>
    <definedName function="false" hidden="false" localSheetId="3" name="_xlnm.Print_Titles" vbProcedure="false">撮影指示書!$8:$8</definedName>
    <definedName function="false" hidden="false" localSheetId="4" name="_xlnm.Print_Titles" vbProcedure="false">撮影香盤表!$8:$8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<sst xmlns="http://schemas.openxmlformats.org/spreadsheetml/2006/main" count="1615" uniqueCount="982">
  <si>
    <t xml:space="preserve">AOZUMI TECHNICA  RECRUITING SITE</t>
  </si>
  <si>
    <t xml:space="preserve">青澄テクニカ 採用サイト制作計画</t>
  </si>
  <si>
    <r>
      <rPr>
        <sz val="11"/>
        <color rgb="FFD9DCE4"/>
        <rFont val="Noto Sans CJK SC"/>
        <family val="2"/>
      </rPr>
      <t xml:space="preserve">青澄テクニカ株式会社（架空）｜静岡の精密部品メーカー／全</t>
    </r>
    <r>
      <rPr>
        <sz val="11"/>
        <color rgb="FFD9DCE4"/>
        <rFont val="Yu Gothic"/>
        <family val="0"/>
        <charset val="1"/>
      </rPr>
      <t xml:space="preserve">19</t>
    </r>
    <r>
      <rPr>
        <sz val="11"/>
        <color rgb="FFD9DCE4"/>
        <rFont val="Noto Sans CJK SC"/>
        <family val="2"/>
      </rPr>
      <t xml:space="preserve">ページ・写真</t>
    </r>
    <r>
      <rPr>
        <sz val="11"/>
        <color rgb="FFD9DCE4"/>
        <rFont val="Yu Gothic"/>
        <family val="0"/>
        <charset val="1"/>
      </rPr>
      <t xml:space="preserve">41</t>
    </r>
    <r>
      <rPr>
        <sz val="11"/>
        <color rgb="FFD9DCE4"/>
        <rFont val="Noto Sans CJK SC"/>
        <family val="2"/>
      </rPr>
      <t xml:space="preserve">点</t>
    </r>
  </si>
  <si>
    <t xml:space="preserve">主な日程</t>
  </si>
  <si>
    <t xml:space="preserve">進み具合</t>
  </si>
  <si>
    <t xml:space="preserve">内容</t>
  </si>
  <si>
    <t xml:space="preserve">日付</t>
  </si>
  <si>
    <t xml:space="preserve">動く人</t>
  </si>
  <si>
    <t xml:space="preserve">メモ</t>
  </si>
  <si>
    <t xml:space="preserve">状態</t>
  </si>
  <si>
    <t xml:space="preserve">件数</t>
  </si>
  <si>
    <t xml:space="preserve">制作スタート（キックオフ）</t>
  </si>
  <si>
    <t xml:space="preserve">制作チーム</t>
  </si>
  <si>
    <t xml:space="preserve">対象職種・役割分担を確認</t>
  </si>
  <si>
    <t xml:space="preserve">全作業</t>
  </si>
  <si>
    <t xml:space="preserve">構成・掲載条件のご承認</t>
  </si>
  <si>
    <t xml:space="preserve">青澄テクニカ様</t>
  </si>
  <si>
    <r>
      <rPr>
        <sz val="11"/>
        <color rgb="FF0F1B3A"/>
        <rFont val="Yu Gothic"/>
        <family val="0"/>
        <charset val="1"/>
      </rPr>
      <t xml:space="preserve">19</t>
    </r>
    <r>
      <rPr>
        <sz val="11"/>
        <color rgb="FF0F1B3A"/>
        <rFont val="Noto Sans CJK SC"/>
        <family val="2"/>
      </rPr>
      <t xml:space="preserve">ページ構成案と初任給・寮の条件</t>
    </r>
  </si>
  <si>
    <t xml:space="preserve">完了</t>
  </si>
  <si>
    <r>
      <rPr>
        <b val="true"/>
        <sz val="11"/>
        <color rgb="FF0F1B3A"/>
        <rFont val="Noto Sans CJK SC"/>
        <family val="2"/>
      </rPr>
      <t xml:space="preserve">撮影</t>
    </r>
    <r>
      <rPr>
        <b val="true"/>
        <sz val="11"/>
        <color rgb="FF0F1B3A"/>
        <rFont val="Yu Gothic"/>
        <family val="0"/>
        <charset val="1"/>
      </rPr>
      <t xml:space="preserve">1</t>
    </r>
    <r>
      <rPr>
        <b val="true"/>
        <sz val="11"/>
        <color rgb="FF0F1B3A"/>
        <rFont val="Noto Sans CJK SC"/>
        <family val="2"/>
      </rPr>
      <t xml:space="preserve">日目　本社工場</t>
    </r>
  </si>
  <si>
    <t xml:space="preserve">全員</t>
  </si>
  <si>
    <r>
      <rPr>
        <sz val="11"/>
        <color rgb="FF0F1B3A"/>
        <rFont val="Noto Sans CJK SC"/>
        <family val="2"/>
      </rPr>
      <t xml:space="preserve">外観・加工・仕上げ・組立・取材</t>
    </r>
    <r>
      <rPr>
        <sz val="11"/>
        <color rgb="FF0F1B3A"/>
        <rFont val="Yu Gothic"/>
        <family val="0"/>
        <charset val="1"/>
      </rPr>
      <t xml:space="preserve">2</t>
    </r>
    <r>
      <rPr>
        <sz val="11"/>
        <color rgb="FF0F1B3A"/>
        <rFont val="Noto Sans CJK SC"/>
        <family val="2"/>
      </rPr>
      <t xml:space="preserve">名</t>
    </r>
  </si>
  <si>
    <t xml:space="preserve">進行中</t>
  </si>
  <si>
    <r>
      <rPr>
        <b val="true"/>
        <sz val="11"/>
        <color rgb="FF0F1B3A"/>
        <rFont val="Noto Sans CJK SC"/>
        <family val="2"/>
      </rPr>
      <t xml:space="preserve">撮影</t>
    </r>
    <r>
      <rPr>
        <b val="true"/>
        <sz val="11"/>
        <color rgb="FF0F1B3A"/>
        <rFont val="Yu Gothic"/>
        <family val="0"/>
        <charset val="1"/>
      </rPr>
      <t xml:space="preserve">2</t>
    </r>
    <r>
      <rPr>
        <b val="true"/>
        <sz val="11"/>
        <color rgb="FF0F1B3A"/>
        <rFont val="Noto Sans CJK SC"/>
        <family val="2"/>
      </rPr>
      <t xml:space="preserve">日目　測定室・オフィス</t>
    </r>
  </si>
  <si>
    <t xml:space="preserve">品質管理・設計補助・社長・座談会</t>
  </si>
  <si>
    <t xml:space="preserve">確認待ち</t>
  </si>
  <si>
    <t xml:space="preserve">原稿・写真のご確認</t>
  </si>
  <si>
    <t xml:space="preserve">事実確認・図面や部品の写り込み</t>
  </si>
  <si>
    <t xml:space="preserve">要調整</t>
  </si>
  <si>
    <t xml:space="preserve">デザインのご確認</t>
  </si>
  <si>
    <r>
      <rPr>
        <sz val="11"/>
        <color rgb="FF0F1B3A"/>
        <rFont val="Yu Gothic"/>
        <family val="0"/>
        <charset val="1"/>
      </rPr>
      <t xml:space="preserve">PC</t>
    </r>
    <r>
      <rPr>
        <sz val="11"/>
        <color rgb="FF0F1B3A"/>
        <rFont val="Noto Sans CJK SC"/>
        <family val="2"/>
      </rPr>
      <t xml:space="preserve">／スマホのデザイン案</t>
    </r>
  </si>
  <si>
    <t xml:space="preserve">未着手</t>
  </si>
  <si>
    <t xml:space="preserve">公開前の最終確認・公開承認</t>
  </si>
  <si>
    <t xml:space="preserve">条件・掲載許諾・公開承認</t>
  </si>
  <si>
    <t xml:space="preserve">完了率</t>
  </si>
  <si>
    <t xml:space="preserve">公開</t>
  </si>
  <si>
    <t xml:space="preserve">公開直後の表示を確認</t>
  </si>
  <si>
    <t xml:space="preserve">状態は「制作工程表」の進捗欄から自動集計</t>
  </si>
  <si>
    <t xml:space="preserve">このファイルの見方</t>
  </si>
  <si>
    <t xml:space="preserve">スケジュール</t>
  </si>
  <si>
    <t xml:space="preserve">誰が・いつまでに・何をするか。企業側の確認期限（◆）もここで確認できます。</t>
  </si>
  <si>
    <t xml:space="preserve">制作工程表</t>
  </si>
  <si>
    <r>
      <rPr>
        <sz val="10.5"/>
        <color rgb="FF4A5468"/>
        <rFont val="Yu Gothic"/>
        <family val="0"/>
        <charset val="1"/>
      </rPr>
      <t xml:space="preserve">21</t>
    </r>
    <r>
      <rPr>
        <sz val="10.5"/>
        <color rgb="FF4A5468"/>
        <rFont val="Noto Sans CJK SC"/>
        <family val="2"/>
      </rPr>
      <t xml:space="preserve">の作業の担当・期限・進捗。黄色の行が企業のご確認（</t>
    </r>
    <r>
      <rPr>
        <sz val="10.5"/>
        <color rgb="FF4A5468"/>
        <rFont val="Yu Gothic"/>
        <family val="0"/>
        <charset val="1"/>
      </rPr>
      <t xml:space="preserve">5</t>
    </r>
    <r>
      <rPr>
        <sz val="10.5"/>
        <color rgb="FF4A5468"/>
        <rFont val="Noto Sans CJK SC"/>
        <family val="2"/>
      </rPr>
      <t xml:space="preserve">営業日）です。開始日（黄色）を変えると全体の日付が動きます。</t>
    </r>
  </si>
  <si>
    <t xml:space="preserve">撮影指示書</t>
  </si>
  <si>
    <r>
      <rPr>
        <sz val="10.5"/>
        <color rgb="FF4A5468"/>
        <rFont val="Noto Sans CJK SC"/>
        <family val="2"/>
      </rPr>
      <t xml:space="preserve">写真</t>
    </r>
    <r>
      <rPr>
        <sz val="10.5"/>
        <color rgb="FF4A5468"/>
        <rFont val="Yu Gothic"/>
        <family val="0"/>
        <charset val="1"/>
      </rPr>
      <t xml:space="preserve">41</t>
    </r>
    <r>
      <rPr>
        <sz val="10.5"/>
        <color rgb="FF4A5468"/>
        <rFont val="Noto Sans CJK SC"/>
        <family val="2"/>
      </rPr>
      <t xml:space="preserve">点の撮影内容・構図・掲載先。</t>
    </r>
  </si>
  <si>
    <t xml:space="preserve">撮影香盤表</t>
  </si>
  <si>
    <r>
      <rPr>
        <sz val="10.5"/>
        <color rgb="FF4A5468"/>
        <rFont val="Noto Sans CJK SC"/>
        <family val="2"/>
      </rPr>
      <t xml:space="preserve">撮影</t>
    </r>
    <r>
      <rPr>
        <sz val="10.5"/>
        <color rgb="FF4A5468"/>
        <rFont val="Yu Gothic"/>
        <family val="0"/>
        <charset val="1"/>
      </rPr>
      <t xml:space="preserve">2</t>
    </r>
    <r>
      <rPr>
        <sz val="10.5"/>
        <color rgb="FF4A5468"/>
        <rFont val="Noto Sans CJK SC"/>
        <family val="2"/>
      </rPr>
      <t xml:space="preserve">日間のタイムテーブル（何時に・どこで・誰が）。</t>
    </r>
  </si>
  <si>
    <t xml:space="preserve">事前準備・出演者</t>
  </si>
  <si>
    <t xml:space="preserve">企業側にご準備いただく内容と締切、出演者の参加時間、取材の質問案。</t>
  </si>
  <si>
    <t xml:space="preserve">サイト構成</t>
  </si>
  <si>
    <r>
      <rPr>
        <sz val="10.5"/>
        <color rgb="FF4A5468"/>
        <rFont val="Yu Gothic"/>
        <family val="0"/>
        <charset val="1"/>
      </rPr>
      <t xml:space="preserve">19</t>
    </r>
    <r>
      <rPr>
        <sz val="10.5"/>
        <color rgb="FF4A5468"/>
        <rFont val="Noto Sans CJK SC"/>
        <family val="2"/>
      </rPr>
      <t xml:space="preserve">ページの見出し・掲載内容・使う写真。</t>
    </r>
  </si>
  <si>
    <t xml:space="preserve">写真カット見本</t>
  </si>
  <si>
    <r>
      <rPr>
        <sz val="10.5"/>
        <color rgb="FF4A5468"/>
        <rFont val="Noto Sans CJK SC"/>
        <family val="2"/>
      </rPr>
      <t xml:space="preserve">撮影指示書の写真</t>
    </r>
    <r>
      <rPr>
        <sz val="10.5"/>
        <color rgb="FF4A5468"/>
        <rFont val="Yu Gothic"/>
        <family val="0"/>
        <charset val="1"/>
      </rPr>
      <t xml:space="preserve">ID</t>
    </r>
    <r>
      <rPr>
        <sz val="10.5"/>
        <color rgb="FF4A5468"/>
        <rFont val="Noto Sans CJK SC"/>
        <family val="2"/>
      </rPr>
      <t xml:space="preserve">に対応する見本画像（</t>
    </r>
    <r>
      <rPr>
        <sz val="10.5"/>
        <color rgb="FF4A5468"/>
        <rFont val="Yu Gothic"/>
        <family val="0"/>
        <charset val="1"/>
      </rPr>
      <t xml:space="preserve">AI</t>
    </r>
    <r>
      <rPr>
        <sz val="10.5"/>
        <color rgb="FF4A5468"/>
        <rFont val="Noto Sans CJK SC"/>
        <family val="2"/>
      </rPr>
      <t xml:space="preserve">生成）。</t>
    </r>
  </si>
  <si>
    <t xml:space="preserve">色の決まり</t>
  </si>
  <si>
    <t xml:space="preserve">撮影</t>
  </si>
  <si>
    <t xml:space="preserve">変更できる日付</t>
  </si>
  <si>
    <r>
      <rPr>
        <sz val="9"/>
        <color rgb="FF4A5468"/>
        <rFont val="Noto Sans CJK SC"/>
        <family val="2"/>
      </rPr>
      <t xml:space="preserve">会社・人物・数字・日程はデモ用の架空設定です。写真は</t>
    </r>
    <r>
      <rPr>
        <sz val="9"/>
        <color rgb="FF4A5468"/>
        <rFont val="Yu Gothic"/>
        <family val="0"/>
        <charset val="1"/>
      </rPr>
      <t xml:space="preserve">AI</t>
    </r>
    <r>
      <rPr>
        <sz val="9"/>
        <color rgb="FF4A5468"/>
        <rFont val="Noto Sans CJK SC"/>
        <family val="2"/>
      </rPr>
      <t xml:space="preserve">生成です。</t>
    </r>
  </si>
  <si>
    <t xml:space="preserve">青澄テクニカ 採用サイト制作スケジュール</t>
  </si>
  <si>
    <t xml:space="preserve">青澄テクニカ 採用サイト制作計画（デモ）｜誰が・いつまでに・何をするか／企業側の確認期限</t>
  </si>
  <si>
    <t xml:space="preserve">企業側（青澄テクニカ様）</t>
  </si>
  <si>
    <t xml:space="preserve">撮影日</t>
  </si>
  <si>
    <t xml:space="preserve">◆ 企業の確認期限</t>
  </si>
  <si>
    <t xml:space="preserve">今日</t>
  </si>
  <si>
    <r>
      <rPr>
        <sz val="9.5"/>
        <color rgb="FF4A5468"/>
        <rFont val="Noto Sans CJK SC"/>
        <family val="2"/>
      </rPr>
      <t xml:space="preserve">開始日（黄色）は「制作工程表」</t>
    </r>
    <r>
      <rPr>
        <sz val="9.5"/>
        <color rgb="FF4A5468"/>
        <rFont val="Yu Gothic"/>
        <family val="0"/>
        <charset val="1"/>
      </rPr>
      <t xml:space="preserve">B4</t>
    </r>
    <r>
      <rPr>
        <sz val="9.5"/>
        <color rgb="FF4A5468"/>
        <rFont val="Noto Sans CJK SC"/>
        <family val="2"/>
      </rPr>
      <t xml:space="preserve">。そこを変えると、この表の日付と帯がすべて動きます。</t>
    </r>
  </si>
  <si>
    <t xml:space="preserve">ID</t>
  </si>
  <si>
    <t xml:space="preserve">工程</t>
  </si>
  <si>
    <t xml:space="preserve">作業</t>
  </si>
  <si>
    <t xml:space="preserve">実行する人</t>
  </si>
  <si>
    <t xml:space="preserve">確認する人</t>
  </si>
  <si>
    <t xml:space="preserve">区分</t>
  </si>
  <si>
    <t xml:space="preserve">開始</t>
  </si>
  <si>
    <t xml:space="preserve">確認期限</t>
  </si>
  <si>
    <r>
      <rPr>
        <b val="true"/>
        <sz val="10.5"/>
        <color rgb="FF0F1B3A"/>
        <rFont val="Yu Gothic"/>
        <family val="0"/>
        <charset val="1"/>
      </rPr>
      <t xml:space="preserve">1</t>
    </r>
    <r>
      <rPr>
        <b val="true"/>
        <sz val="10.5"/>
        <color rgb="FF0F1B3A"/>
        <rFont val="Noto Sans CJK SC"/>
        <family val="2"/>
      </rPr>
      <t xml:space="preserve">　企画・構成</t>
    </r>
  </si>
  <si>
    <t xml:space="preserve">G</t>
  </si>
  <si>
    <r>
      <rPr>
        <b val="true"/>
        <sz val="10.5"/>
        <color rgb="FF0F1B3A"/>
        <rFont val="Yu Gothic"/>
        <family val="0"/>
        <charset val="1"/>
      </rPr>
      <t xml:space="preserve">2</t>
    </r>
    <r>
      <rPr>
        <b val="true"/>
        <sz val="10.5"/>
        <color rgb="FF0F1B3A"/>
        <rFont val="Noto Sans CJK SC"/>
        <family val="2"/>
      </rPr>
      <t xml:space="preserve">　取材の準備</t>
    </r>
  </si>
  <si>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　取材・撮影</t>
    </r>
  </si>
  <si>
    <r>
      <rPr>
        <b val="true"/>
        <sz val="10.5"/>
        <color rgb="FF0F1B3A"/>
        <rFont val="Yu Gothic"/>
        <family val="0"/>
        <charset val="1"/>
      </rPr>
      <t xml:space="preserve">4</t>
    </r>
    <r>
      <rPr>
        <b val="true"/>
        <sz val="10.5"/>
        <color rgb="FF0F1B3A"/>
        <rFont val="Noto Sans CJK SC"/>
        <family val="2"/>
      </rPr>
      <t xml:space="preserve">　原稿</t>
    </r>
  </si>
  <si>
    <r>
      <rPr>
        <b val="true"/>
        <sz val="10.5"/>
        <color rgb="FF0F1B3A"/>
        <rFont val="Yu Gothic"/>
        <family val="0"/>
        <charset val="1"/>
      </rPr>
      <t xml:space="preserve">5</t>
    </r>
    <r>
      <rPr>
        <b val="true"/>
        <sz val="10.5"/>
        <color rgb="FF0F1B3A"/>
        <rFont val="Noto Sans CJK SC"/>
        <family val="2"/>
      </rPr>
      <t xml:space="preserve">　デザイン</t>
    </r>
  </si>
  <si>
    <r>
      <rPr>
        <b val="true"/>
        <sz val="10.5"/>
        <color rgb="FF0F1B3A"/>
        <rFont val="Yu Gothic"/>
        <family val="0"/>
        <charset val="1"/>
      </rPr>
      <t xml:space="preserve">6</t>
    </r>
    <r>
      <rPr>
        <b val="true"/>
        <sz val="10.5"/>
        <color rgb="FF0F1B3A"/>
        <rFont val="Noto Sans CJK SC"/>
        <family val="2"/>
      </rPr>
      <t xml:space="preserve">　実装・公開</t>
    </r>
  </si>
  <si>
    <t xml:space="preserve">表の見方</t>
  </si>
  <si>
    <t xml:space="preserve">・帯は作業する期間です。紺は制作チーム、青は企業側（青澄テクニカ様）が動く作業、赤は撮影日です。</t>
  </si>
  <si>
    <t xml:space="preserve">・◆は、その作業について企業側に確認・承認をお願いしたい期限です。確認する人は「確認する人」列をご覧ください。</t>
  </si>
  <si>
    <t xml:space="preserve">・日付・担当・状態は「制作工程表」シートと連動しています。変更は制作工程表で行ってください。</t>
  </si>
  <si>
    <r>
      <rPr>
        <sz val="10"/>
        <color rgb="FF4A5468"/>
        <rFont val="Noto Sans CJK SC"/>
        <family val="2"/>
      </rPr>
      <t xml:space="preserve">・祝日・休業日は「制作工程表」の</t>
    </r>
    <r>
      <rPr>
        <sz val="10"/>
        <color rgb="FF4A5468"/>
        <rFont val="Yu Gothic"/>
        <family val="0"/>
        <charset val="1"/>
      </rPr>
      <t xml:space="preserve">Z</t>
    </r>
    <r>
      <rPr>
        <sz val="10"/>
        <color rgb="FF4A5468"/>
        <rFont val="Noto Sans CJK SC"/>
        <family val="2"/>
      </rPr>
      <t xml:space="preserve">列に入れると、日付から自動で外れます。</t>
    </r>
  </si>
  <si>
    <t xml:space="preserve">青澄テクニカ 採用サイト制作工程表</t>
  </si>
  <si>
    <t xml:space="preserve">青澄テクニカ 採用サイト制作計画（デモ）｜全体の工程と担当</t>
  </si>
  <si>
    <t xml:space="preserve">制作開始日</t>
  </si>
  <si>
    <r>
      <rPr>
        <b val="true"/>
        <sz val="10"/>
        <color rgb="FF0F1B3A"/>
        <rFont val="Noto Sans CJK SC"/>
        <family val="2"/>
      </rPr>
      <t xml:space="preserve">撮影</t>
    </r>
    <r>
      <rPr>
        <b val="true"/>
        <sz val="10"/>
        <color rgb="FF0F1B3A"/>
        <rFont val="Yu Gothic"/>
        <family val="0"/>
        <charset val="1"/>
      </rPr>
      <t xml:space="preserve">1</t>
    </r>
    <r>
      <rPr>
        <b val="true"/>
        <sz val="10"/>
        <color rgb="FF0F1B3A"/>
        <rFont val="Noto Sans CJK SC"/>
        <family val="2"/>
      </rPr>
      <t xml:space="preserve">日目</t>
    </r>
  </si>
  <si>
    <r>
      <rPr>
        <b val="true"/>
        <sz val="10"/>
        <color rgb="FF0F1B3A"/>
        <rFont val="Noto Sans CJK SC"/>
        <family val="2"/>
      </rPr>
      <t xml:space="preserve">撮影</t>
    </r>
    <r>
      <rPr>
        <b val="true"/>
        <sz val="10"/>
        <color rgb="FF0F1B3A"/>
        <rFont val="Yu Gothic"/>
        <family val="0"/>
        <charset val="1"/>
      </rPr>
      <t xml:space="preserve">2</t>
    </r>
    <r>
      <rPr>
        <b val="true"/>
        <sz val="10"/>
        <color rgb="FF0F1B3A"/>
        <rFont val="Noto Sans CJK SC"/>
        <family val="2"/>
      </rPr>
      <t xml:space="preserve">日目</t>
    </r>
  </si>
  <si>
    <r>
      <rPr>
        <sz val="10"/>
        <color rgb="FF4A5468"/>
        <rFont val="Noto Sans CJK SC"/>
        <family val="2"/>
      </rPr>
      <t xml:space="preserve">約</t>
    </r>
    <r>
      <rPr>
        <sz val="10"/>
        <color rgb="FF4A5468"/>
        <rFont val="Yu Gothic"/>
        <family val="0"/>
        <charset val="1"/>
      </rPr>
      <t xml:space="preserve">11</t>
    </r>
    <r>
      <rPr>
        <sz val="10"/>
        <color rgb="FF4A5468"/>
        <rFont val="Noto Sans CJK SC"/>
        <family val="2"/>
      </rPr>
      <t xml:space="preserve">週間の仮日程。企業のご確認はそれぞれ</t>
    </r>
    <r>
      <rPr>
        <sz val="10"/>
        <color rgb="FF4A5468"/>
        <rFont val="Yu Gothic"/>
        <family val="0"/>
        <charset val="1"/>
      </rPr>
      <t xml:space="preserve">5</t>
    </r>
    <r>
      <rPr>
        <sz val="10"/>
        <color rgb="FF4A5468"/>
        <rFont val="Noto Sans CJK SC"/>
        <family val="2"/>
      </rPr>
      <t xml:space="preserve">営業日（黄色の行）。開始日を変えると全体の日付が動きます。祝日・休業日は</t>
    </r>
    <r>
      <rPr>
        <sz val="10"/>
        <color rgb="FF4A5468"/>
        <rFont val="Yu Gothic"/>
        <family val="0"/>
        <charset val="1"/>
      </rPr>
      <t xml:space="preserve">Z</t>
    </r>
    <r>
      <rPr>
        <sz val="10"/>
        <color rgb="FF4A5468"/>
        <rFont val="Noto Sans CJK SC"/>
        <family val="2"/>
      </rPr>
      <t xml:space="preserve">列に入れると自動で避けます（会社カレンダーに合わせて追加してください）。</t>
    </r>
  </si>
  <si>
    <r>
      <rPr>
        <sz val="10"/>
        <color rgb="FF4A5468"/>
        <rFont val="Noto Sans CJK SC"/>
        <family val="2"/>
      </rPr>
      <t xml:space="preserve">黄色：変更する日付　色付き帯：作業期間　進捗は実際の状況に更新。デモの写真は</t>
    </r>
    <r>
      <rPr>
        <sz val="10"/>
        <color rgb="FF4A5468"/>
        <rFont val="Yu Gothic"/>
        <family val="0"/>
        <charset val="1"/>
      </rPr>
      <t xml:space="preserve">AI</t>
    </r>
    <r>
      <rPr>
        <sz val="10"/>
        <color rgb="FF4A5468"/>
        <rFont val="Noto Sans CJK SC"/>
        <family val="2"/>
      </rPr>
      <t xml:space="preserve">生成、香盤は実案件の撮影を想定。</t>
    </r>
  </si>
  <si>
    <t xml:space="preserve">制作・実行担当</t>
  </si>
  <si>
    <t xml:space="preserve">企業側の確認担当</t>
  </si>
  <si>
    <t xml:space="preserve">成果物・確認内容</t>
  </si>
  <si>
    <t xml:space="preserve">開始日</t>
  </si>
  <si>
    <t xml:space="preserve">完了期限</t>
  </si>
  <si>
    <t xml:space="preserve">先行作業</t>
  </si>
  <si>
    <t xml:space="preserve">進捗</t>
  </si>
  <si>
    <t xml:space="preserve">期間（営業日）</t>
  </si>
  <si>
    <r>
      <rPr>
        <b val="true"/>
        <sz val="10"/>
        <color rgb="FFFFFFFF"/>
        <rFont val="Yu Gothic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</si>
  <si>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</si>
  <si>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</si>
  <si>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</si>
  <si>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</si>
  <si>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</si>
  <si>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</si>
  <si>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</si>
  <si>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9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</si>
  <si>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10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</si>
  <si>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</si>
  <si>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12</t>
    </r>
    <r>
      <rPr>
        <b val="true"/>
        <sz val="10"/>
        <color rgb="FFFFFFFF"/>
        <rFont val="Noto Sans CJK SC"/>
        <family val="2"/>
      </rPr>
      <t xml:space="preserve">週目</t>
    </r>
  </si>
  <si>
    <t xml:space="preserve">祝日・休業日</t>
  </si>
  <si>
    <t xml:space="preserve">T01</t>
  </si>
  <si>
    <t xml:space="preserve">企画</t>
  </si>
  <si>
    <t xml:space="preserve">キックオフ・採用課題確認</t>
  </si>
  <si>
    <t xml:space="preserve">編集ディレクター</t>
  </si>
  <si>
    <t xml:space="preserve">採用担当</t>
  </si>
  <si>
    <t xml:space="preserve">対象職種・役割分担・窓口の確認</t>
  </si>
  <si>
    <t xml:space="preserve">—</t>
  </si>
  <si>
    <t xml:space="preserve">なし</t>
  </si>
  <si>
    <t xml:space="preserve">スポーツの日</t>
  </si>
  <si>
    <t xml:space="preserve">T02</t>
  </si>
  <si>
    <t xml:space="preserve">コンセプト・訴求・構成案の作成</t>
  </si>
  <si>
    <r>
      <rPr>
        <sz val="10.5"/>
        <color rgb="FF0F1B3A"/>
        <rFont val="Yu Gothic"/>
        <family val="0"/>
        <charset val="1"/>
      </rPr>
      <t xml:space="preserve">19</t>
    </r>
    <r>
      <rPr>
        <sz val="10.5"/>
        <color rgb="FF0F1B3A"/>
        <rFont val="Noto Sans CJK SC"/>
        <family val="2"/>
      </rPr>
      <t xml:space="preserve">ページ構成案</t>
    </r>
  </si>
  <si>
    <t xml:space="preserve">文化の日</t>
  </si>
  <si>
    <t xml:space="preserve">T03</t>
  </si>
  <si>
    <t xml:space="preserve">企画確認</t>
  </si>
  <si>
    <t xml:space="preserve">構成案のご確認</t>
  </si>
  <si>
    <t xml:space="preserve">工場長</t>
  </si>
  <si>
    <t xml:space="preserve">構成・掲載する条件へのご意見</t>
  </si>
  <si>
    <t xml:space="preserve">勤労感謝の日</t>
  </si>
  <si>
    <t xml:space="preserve">T04</t>
  </si>
  <si>
    <t xml:space="preserve">構成・掲載条件の確定</t>
  </si>
  <si>
    <t xml:space="preserve">確定した構成／掲載条件</t>
  </si>
  <si>
    <t xml:space="preserve">年末年始</t>
  </si>
  <si>
    <t xml:space="preserve">T05</t>
  </si>
  <si>
    <t xml:space="preserve">取材準備</t>
  </si>
  <si>
    <t xml:space="preserve">質問案・撮影指示書の作成</t>
  </si>
  <si>
    <t xml:space="preserve">ライター・カメラマン</t>
  </si>
  <si>
    <r>
      <rPr>
        <sz val="10.5"/>
        <color rgb="FF0F1B3A"/>
        <rFont val="Noto Sans CJK SC"/>
        <family val="2"/>
      </rPr>
      <t xml:space="preserve">質問案／</t>
    </r>
    <r>
      <rPr>
        <sz val="10.5"/>
        <color rgb="FF0F1B3A"/>
        <rFont val="Yu Gothic"/>
        <family val="0"/>
        <charset val="1"/>
      </rPr>
      <t xml:space="preserve">41</t>
    </r>
    <r>
      <rPr>
        <sz val="10.5"/>
        <color rgb="FF0F1B3A"/>
        <rFont val="Noto Sans CJK SC"/>
        <family val="2"/>
      </rPr>
      <t xml:space="preserve">カット指示</t>
    </r>
  </si>
  <si>
    <t xml:space="preserve">T06</t>
  </si>
  <si>
    <t xml:space="preserve">出演者・撮影エリア・許諾の調整</t>
  </si>
  <si>
    <t xml:space="preserve">総務窓口</t>
  </si>
  <si>
    <t xml:space="preserve">工場長・出演者</t>
  </si>
  <si>
    <t xml:space="preserve">参加時間／許諾／撮影できる機械・図面</t>
  </si>
  <si>
    <t xml:space="preserve">T07</t>
  </si>
  <si>
    <t xml:space="preserve">質問案・香盤のご確認</t>
  </si>
  <si>
    <t xml:space="preserve">出演者</t>
  </si>
  <si>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日間の香盤／質問案／安全・立入範囲</t>
    </r>
  </si>
  <si>
    <r>
      <rPr>
        <sz val="10.5"/>
        <color rgb="FF0F1B3A"/>
        <rFont val="Yu Gothic"/>
        <family val="0"/>
        <charset val="1"/>
      </rPr>
      <t xml:space="preserve">T05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T06</t>
    </r>
  </si>
  <si>
    <t xml:space="preserve">元日</t>
  </si>
  <si>
    <t xml:space="preserve">T08</t>
  </si>
  <si>
    <t xml:space="preserve">取材撮影</t>
  </si>
  <si>
    <t xml:space="preserve">本社工場の取材・撮影</t>
  </si>
  <si>
    <t xml:space="preserve">加工・仕上げ・組立の写真／取材音声</t>
  </si>
  <si>
    <t xml:space="preserve">成人の日</t>
  </si>
  <si>
    <t xml:space="preserve">T09</t>
  </si>
  <si>
    <t xml:space="preserve">測定室・オフィスの取材・撮影</t>
  </si>
  <si>
    <t xml:space="preserve">品質管理・設計補助・社長／座談会</t>
  </si>
  <si>
    <t xml:space="preserve">T10</t>
  </si>
  <si>
    <t xml:space="preserve">素材整理</t>
  </si>
  <si>
    <t xml:space="preserve">写真選定・音声整理</t>
  </si>
  <si>
    <t xml:space="preserve">カメラマン・ライター</t>
  </si>
  <si>
    <t xml:space="preserve">写真候補／取材メモ</t>
  </si>
  <si>
    <t xml:space="preserve">T11</t>
  </si>
  <si>
    <t xml:space="preserve">執筆</t>
  </si>
  <si>
    <t xml:space="preserve">仕事紹介・インタビュー原稿</t>
  </si>
  <si>
    <t xml:space="preserve">ライター</t>
  </si>
  <si>
    <t xml:space="preserve">記事初稿／ページ原稿</t>
  </si>
  <si>
    <t xml:space="preserve">T12</t>
  </si>
  <si>
    <t xml:space="preserve">原稿確認</t>
  </si>
  <si>
    <t xml:space="preserve">出演者・工場長</t>
  </si>
  <si>
    <t xml:space="preserve">事実確認／図面・部品の写り込み確認</t>
  </si>
  <si>
    <r>
      <rPr>
        <sz val="10.5"/>
        <color rgb="FF0F1B3A"/>
        <rFont val="Yu Gothic"/>
        <family val="0"/>
        <charset val="1"/>
      </rPr>
      <t xml:space="preserve">T10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T11</t>
    </r>
  </si>
  <si>
    <t xml:space="preserve">T13</t>
  </si>
  <si>
    <t xml:space="preserve">原稿確定</t>
  </si>
  <si>
    <t xml:space="preserve">原稿の修正・確定</t>
  </si>
  <si>
    <t xml:space="preserve">ライター・編集ディレクター</t>
  </si>
  <si>
    <t xml:space="preserve">確定原稿／確定写真</t>
  </si>
  <si>
    <t xml:space="preserve">T14</t>
  </si>
  <si>
    <t xml:space="preserve">デザイン</t>
  </si>
  <si>
    <t xml:space="preserve">トップ・代表下層のデザイン</t>
  </si>
  <si>
    <t xml:space="preserve">デザイナー</t>
  </si>
  <si>
    <r>
      <rPr>
        <sz val="10.5"/>
        <color rgb="FF0F1B3A"/>
        <rFont val="Yu Gothic"/>
        <family val="0"/>
        <charset val="1"/>
      </rPr>
      <t xml:space="preserve">PC</t>
    </r>
    <r>
      <rPr>
        <sz val="10.5"/>
        <color rgb="FF0F1B3A"/>
        <rFont val="Noto Sans CJK SC"/>
        <family val="2"/>
      </rPr>
      <t xml:space="preserve">／スマホのデザイン案</t>
    </r>
  </si>
  <si>
    <r>
      <rPr>
        <sz val="10.5"/>
        <color rgb="FF0F1B3A"/>
        <rFont val="Yu Gothic"/>
        <family val="0"/>
        <charset val="1"/>
      </rPr>
      <t xml:space="preserve">T04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T09</t>
    </r>
  </si>
  <si>
    <t xml:space="preserve">T15</t>
  </si>
  <si>
    <t xml:space="preserve">デザイン確認</t>
  </si>
  <si>
    <t xml:space="preserve">社長</t>
  </si>
  <si>
    <t xml:space="preserve">修正意見を窓口でまとめてご連絡</t>
  </si>
  <si>
    <t xml:space="preserve">T16</t>
  </si>
  <si>
    <r>
      <rPr>
        <b val="true"/>
        <sz val="10.5"/>
        <color rgb="FF0F1B3A"/>
        <rFont val="Noto Sans CJK SC"/>
        <family val="2"/>
      </rPr>
      <t xml:space="preserve">全</t>
    </r>
    <r>
      <rPr>
        <b val="true"/>
        <sz val="10.5"/>
        <color rgb="FF0F1B3A"/>
        <rFont val="Yu Gothic"/>
        <family val="0"/>
        <charset val="1"/>
      </rPr>
      <t xml:space="preserve">19</t>
    </r>
    <r>
      <rPr>
        <b val="true"/>
        <sz val="10.5"/>
        <color rgb="FF0F1B3A"/>
        <rFont val="Noto Sans CJK SC"/>
        <family val="2"/>
      </rPr>
      <t xml:space="preserve">ページの展開・確定</t>
    </r>
  </si>
  <si>
    <t xml:space="preserve">全ページの確定デザイン</t>
  </si>
  <si>
    <r>
      <rPr>
        <sz val="10.5"/>
        <color rgb="FF0F1B3A"/>
        <rFont val="Yu Gothic"/>
        <family val="0"/>
        <charset val="1"/>
      </rPr>
      <t xml:space="preserve">T13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T15</t>
    </r>
  </si>
  <si>
    <t xml:space="preserve">T17</t>
  </si>
  <si>
    <t xml:space="preserve">実装</t>
  </si>
  <si>
    <t xml:space="preserve">ページ実装・スマホ対応</t>
  </si>
  <si>
    <t xml:space="preserve">実装担当</t>
  </si>
  <si>
    <t xml:space="preserve">閲覧用サイト／工場見学の導線</t>
  </si>
  <si>
    <t xml:space="preserve">T18</t>
  </si>
  <si>
    <t xml:space="preserve">確認</t>
  </si>
  <si>
    <t xml:space="preserve">リンク・表示・文字・操作の確認（制作内）</t>
  </si>
  <si>
    <t xml:space="preserve">実装担当・編集ディレクター</t>
  </si>
  <si>
    <t xml:space="preserve">修正一覧／テスト記録</t>
  </si>
  <si>
    <t xml:space="preserve">T19</t>
  </si>
  <si>
    <t xml:space="preserve">公開前確認</t>
  </si>
  <si>
    <t xml:space="preserve">社長・出演者</t>
  </si>
  <si>
    <t xml:space="preserve">条件／掲載許諾／公開承認</t>
  </si>
  <si>
    <t xml:space="preserve">T20</t>
  </si>
  <si>
    <t xml:space="preserve">修正</t>
  </si>
  <si>
    <t xml:space="preserve">最終修正・公開準備</t>
  </si>
  <si>
    <t xml:space="preserve">最終版／引き継ぎ資料</t>
  </si>
  <si>
    <t xml:space="preserve">T21</t>
  </si>
  <si>
    <t xml:space="preserve">公開・公開直後の確認</t>
  </si>
  <si>
    <t xml:space="preserve">公開確認／更新方法の共有</t>
  </si>
  <si>
    <r>
      <rPr>
        <b val="true"/>
        <sz val="18"/>
        <color rgb="FF0F1B3A"/>
        <rFont val="Noto Sans CJK SC"/>
        <family val="2"/>
      </rPr>
      <t xml:space="preserve">写真</t>
    </r>
    <r>
      <rPr>
        <b val="true"/>
        <sz val="18"/>
        <color rgb="FF0F1B3A"/>
        <rFont val="Yu Gothic"/>
        <family val="0"/>
        <charset val="1"/>
      </rPr>
      <t xml:space="preserve">41</t>
    </r>
    <r>
      <rPr>
        <b val="true"/>
        <sz val="18"/>
        <color rgb="FF0F1B3A"/>
        <rFont val="Noto Sans CJK SC"/>
        <family val="2"/>
      </rPr>
      <t xml:space="preserve">点 撮影指示書</t>
    </r>
  </si>
  <si>
    <r>
      <rPr>
        <sz val="9.5"/>
        <color rgb="FF4A5468"/>
        <rFont val="Noto Sans CJK SC"/>
        <family val="2"/>
      </rPr>
      <t xml:space="preserve">青澄テクニカ 採用サイト制作計画（デモ）｜写真</t>
    </r>
    <r>
      <rPr>
        <sz val="9.5"/>
        <color rgb="FF4A5468"/>
        <rFont val="Yu Gothic"/>
        <family val="0"/>
        <charset val="1"/>
      </rPr>
      <t xml:space="preserve">41</t>
    </r>
    <r>
      <rPr>
        <sz val="9.5"/>
        <color rgb="FF4A5468"/>
        <rFont val="Noto Sans CJK SC"/>
        <family val="2"/>
      </rPr>
      <t xml:space="preserve">点の撮り方</t>
    </r>
  </si>
  <si>
    <r>
      <rPr>
        <sz val="10"/>
        <color rgb="FF4A5468"/>
        <rFont val="Noto Sans CJK SC"/>
        <family val="2"/>
      </rPr>
      <t xml:space="preserve">写真は</t>
    </r>
    <r>
      <rPr>
        <sz val="10"/>
        <color rgb="FF4A5468"/>
        <rFont val="Yu Gothic"/>
        <family val="0"/>
        <charset val="1"/>
      </rPr>
      <t xml:space="preserve">41</t>
    </r>
    <r>
      <rPr>
        <sz val="10"/>
        <color rgb="FF4A5468"/>
        <rFont val="Noto Sans CJK SC"/>
        <family val="2"/>
      </rPr>
      <t xml:space="preserve">点。人物・作業着・工場の設定は事前準備シートで統一。図面・部品・機械は、社外に出してよいものだけを写す。</t>
    </r>
  </si>
  <si>
    <r>
      <rPr>
        <sz val="10"/>
        <color rgb="FF4A5468"/>
        <rFont val="Noto Sans CJK SC"/>
        <family val="2"/>
      </rPr>
      <t xml:space="preserve">デモは</t>
    </r>
    <r>
      <rPr>
        <sz val="10"/>
        <color rgb="FF4A5468"/>
        <rFont val="Yu Gothic"/>
        <family val="0"/>
        <charset val="1"/>
      </rPr>
      <t xml:space="preserve">AI</t>
    </r>
    <r>
      <rPr>
        <sz val="10"/>
        <color rgb="FF4A5468"/>
        <rFont val="Noto Sans CJK SC"/>
        <family val="2"/>
      </rPr>
      <t xml:space="preserve">生成写真を使用。写真カット見本シートに</t>
    </r>
    <r>
      <rPr>
        <sz val="10"/>
        <color rgb="FF4A5468"/>
        <rFont val="Yu Gothic"/>
        <family val="0"/>
        <charset val="1"/>
      </rPr>
      <t xml:space="preserve">41</t>
    </r>
    <r>
      <rPr>
        <sz val="10"/>
        <color rgb="FF4A5468"/>
        <rFont val="Noto Sans CJK SC"/>
        <family val="2"/>
      </rPr>
      <t xml:space="preserve">点の画像を掲載。実案件の撮影では稼働状況と許諾に合わせて調整。</t>
    </r>
  </si>
  <si>
    <r>
      <rPr>
        <sz val="10"/>
        <color rgb="FF4A5468"/>
        <rFont val="Noto Sans CJK SC"/>
        <family val="2"/>
      </rPr>
      <t xml:space="preserve">写真</t>
    </r>
    <r>
      <rPr>
        <sz val="10"/>
        <color rgb="FF4A5468"/>
        <rFont val="Yu Gothic"/>
        <family val="0"/>
        <charset val="1"/>
      </rPr>
      <t xml:space="preserve">ID</t>
    </r>
    <r>
      <rPr>
        <sz val="10"/>
        <color rgb="FF4A5468"/>
        <rFont val="Noto Sans CJK SC"/>
        <family val="2"/>
      </rPr>
      <t xml:space="preserve">と香盤</t>
    </r>
    <r>
      <rPr>
        <sz val="10"/>
        <color rgb="FF4A5468"/>
        <rFont val="Yu Gothic"/>
        <family val="0"/>
        <charset val="1"/>
      </rPr>
      <t xml:space="preserve">ID</t>
    </r>
    <r>
      <rPr>
        <sz val="10"/>
        <color rgb="FF4A5468"/>
        <rFont val="Noto Sans CJK SC"/>
        <family val="2"/>
      </rPr>
      <t xml:space="preserve">で掲載先・撮影枠を追跡。掲載確認は企業側が実際に確認後、更新。</t>
    </r>
  </si>
  <si>
    <r>
      <rPr>
        <b val="true"/>
        <sz val="10"/>
        <color rgb="FFFFFFFF"/>
        <rFont val="Noto Sans CJK SC"/>
        <family val="2"/>
      </rPr>
      <t xml:space="preserve">写真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</si>
  <si>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撮影内容</t>
  </si>
  <si>
    <t xml:space="preserve">掲載ページ</t>
  </si>
  <si>
    <t xml:space="preserve">伝えたいこと</t>
  </si>
  <si>
    <t xml:space="preserve">縦横・比率</t>
  </si>
  <si>
    <t xml:space="preserve">構図・余白</t>
  </si>
  <si>
    <t xml:space="preserve">出演者（架空）</t>
  </si>
  <si>
    <t xml:space="preserve">場所</t>
  </si>
  <si>
    <r>
      <rPr>
        <b val="true"/>
        <sz val="10"/>
        <color rgb="FFFFFFFF"/>
        <rFont val="Noto Sans CJK SC"/>
        <family val="2"/>
      </rPr>
      <t xml:space="preserve">香盤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</si>
  <si>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準備物</t>
  </si>
  <si>
    <t xml:space="preserve">撮影時の確認</t>
  </si>
  <si>
    <t xml:space="preserve">担当</t>
  </si>
  <si>
    <t xml:space="preserve">掲載確認</t>
  </si>
  <si>
    <t xml:space="preserve">01</t>
  </si>
  <si>
    <t xml:space="preserve">図面の上に置いた部品</t>
  </si>
  <si>
    <r>
      <rPr>
        <sz val="10.5"/>
        <color rgb="FF0F1B3A"/>
        <rFont val="Noto Sans CJK SC"/>
        <family val="2"/>
      </rPr>
      <t xml:space="preserve">トップ（</t>
    </r>
    <r>
      <rPr>
        <sz val="10.5"/>
        <color rgb="FF0F1B3A"/>
        <rFont val="Yu Gothic"/>
        <family val="0"/>
        <charset val="1"/>
      </rPr>
      <t xml:space="preserve">FV</t>
    </r>
    <r>
      <rPr>
        <sz val="10.5"/>
        <color rgb="FF0F1B3A"/>
        <rFont val="Noto Sans CJK SC"/>
        <family val="2"/>
      </rPr>
      <t xml:space="preserve">）</t>
    </r>
  </si>
  <si>
    <t xml:space="preserve">「この部品、何になると思う？」の謎</t>
  </si>
  <si>
    <t xml:space="preserve">1:1</t>
  </si>
  <si>
    <t xml:space="preserve">真上から。部品の周りに引出線用の余白</t>
  </si>
  <si>
    <t xml:space="preserve">工場／測定室の作業台</t>
  </si>
  <si>
    <t xml:space="preserve">D1-02</t>
  </si>
  <si>
    <t xml:space="preserve">社外公開できる部品・図面</t>
  </si>
  <si>
    <t xml:space="preserve">図面の品番・顧客名は写さない</t>
  </si>
  <si>
    <t xml:space="preserve">カメラマン</t>
  </si>
  <si>
    <t xml:space="preserve">未確認</t>
  </si>
  <si>
    <t xml:space="preserve">02</t>
  </si>
  <si>
    <t xml:space="preserve">部品のアップ</t>
  </si>
  <si>
    <t xml:space="preserve">トップ（正体）</t>
  </si>
  <si>
    <t xml:space="preserve">穴や面の精度の美しさ</t>
  </si>
  <si>
    <r>
      <rPr>
        <sz val="10.5"/>
        <color rgb="FF0F1B3A"/>
        <rFont val="Noto Sans CJK SC"/>
        <family val="2"/>
      </rPr>
      <t xml:space="preserve">斜め</t>
    </r>
    <r>
      <rPr>
        <sz val="10.5"/>
        <color rgb="FF0F1B3A"/>
        <rFont val="Yu Gothic"/>
        <family val="0"/>
        <charset val="1"/>
      </rPr>
      <t xml:space="preserve">45°</t>
    </r>
    <r>
      <rPr>
        <sz val="10.5"/>
        <color rgb="FF0F1B3A"/>
        <rFont val="Noto Sans CJK SC"/>
        <family val="2"/>
      </rPr>
      <t xml:space="preserve">。金属の質感を出す</t>
    </r>
  </si>
  <si>
    <r>
      <rPr>
        <sz val="10.5"/>
        <color rgb="FF0F1B3A"/>
        <rFont val="Yu Gothic"/>
        <family val="0"/>
        <charset val="1"/>
      </rPr>
      <t xml:space="preserve">01</t>
    </r>
    <r>
      <rPr>
        <sz val="10.5"/>
        <color rgb="FF0F1B3A"/>
        <rFont val="Noto Sans CJK SC"/>
        <family val="2"/>
      </rPr>
      <t xml:space="preserve">と同じ部品</t>
    </r>
  </si>
  <si>
    <t xml:space="preserve">指紋・油を拭き取る</t>
  </si>
  <si>
    <t xml:space="preserve">03</t>
  </si>
  <si>
    <t xml:space="preserve">産業用ロボットの装置</t>
  </si>
  <si>
    <t xml:space="preserve">部品が使われる先を見せる</t>
  </si>
  <si>
    <t xml:space="preserve">4:5</t>
  </si>
  <si>
    <t xml:space="preserve">装置全体と部品箱</t>
  </si>
  <si>
    <t xml:space="preserve">工場／組立エリア</t>
  </si>
  <si>
    <t xml:space="preserve">D1-05</t>
  </si>
  <si>
    <t xml:space="preserve">稼働停止中の装置</t>
  </si>
  <si>
    <t xml:space="preserve">他社製品のロゴを写さない</t>
  </si>
  <si>
    <t xml:space="preserve">04</t>
  </si>
  <si>
    <t xml:space="preserve">加工した部品を確かめる若手</t>
  </si>
  <si>
    <t xml:space="preserve">トップ（削る）／加工インタビュー</t>
  </si>
  <si>
    <t xml:space="preserve">考えながら削る仕事</t>
  </si>
  <si>
    <t xml:space="preserve">機械を背景に腰上</t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</si>
  <si>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</t>
    </r>
  </si>
  <si>
    <t xml:space="preserve">工場／加工エリア</t>
  </si>
  <si>
    <t xml:space="preserve">D1-03</t>
  </si>
  <si>
    <t xml:space="preserve">加工後の部品</t>
  </si>
  <si>
    <t xml:space="preserve">保護めがね・手袋の着用</t>
  </si>
  <si>
    <t xml:space="preserve">05</t>
  </si>
  <si>
    <t xml:space="preserve">仕上がりを確かめる</t>
  </si>
  <si>
    <t xml:space="preserve">トップ（磨く）</t>
  </si>
  <si>
    <t xml:space="preserve">触れてわかる仕上がり</t>
  </si>
  <si>
    <t xml:space="preserve">顔と手元を近めに</t>
  </si>
  <si>
    <t xml:space="preserve">仕上げ担当</t>
  </si>
  <si>
    <t xml:space="preserve">工場／仕上げエリア</t>
  </si>
  <si>
    <t xml:space="preserve">D1-04</t>
  </si>
  <si>
    <t xml:space="preserve">仕上げ後の部品</t>
  </si>
  <si>
    <r>
      <rPr>
        <sz val="10.5"/>
        <color rgb="FF0F1B3A"/>
        <rFont val="Yu Gothic"/>
        <family val="0"/>
        <charset val="1"/>
      </rPr>
      <t xml:space="preserve">04</t>
    </r>
    <r>
      <rPr>
        <sz val="10.5"/>
        <color rgb="FF0F1B3A"/>
        <rFont val="Noto Sans CJK SC"/>
        <family val="2"/>
      </rPr>
      <t xml:space="preserve">と人物を変える</t>
    </r>
  </si>
  <si>
    <t xml:space="preserve">06</t>
  </si>
  <si>
    <t xml:space="preserve">ノギスで測る手元</t>
  </si>
  <si>
    <t xml:space="preserve">トップ（測る）／新卒採用</t>
  </si>
  <si>
    <r>
      <rPr>
        <sz val="10.5"/>
        <color rgb="FF0F1B3A"/>
        <rFont val="Yu Gothic"/>
        <family val="0"/>
        <charset val="1"/>
      </rPr>
      <t xml:space="preserve">0.01mm</t>
    </r>
    <r>
      <rPr>
        <sz val="10.5"/>
        <color rgb="FF0F1B3A"/>
        <rFont val="Noto Sans CJK SC"/>
        <family val="2"/>
      </rPr>
      <t xml:space="preserve">を測る仕事</t>
    </r>
  </si>
  <si>
    <t xml:space="preserve">手元のアップ</t>
  </si>
  <si>
    <r>
      <rPr>
        <sz val="10.5"/>
        <color rgb="FF0F1B3A"/>
        <rFont val="Noto Sans CJK SC"/>
        <family val="2"/>
      </rPr>
      <t xml:space="preserve">品質管理（</t>
    </r>
    <r>
      <rPr>
        <sz val="10.5"/>
        <color rgb="FF0F1B3A"/>
        <rFont val="Yu Gothic"/>
        <family val="0"/>
        <charset val="1"/>
      </rPr>
      <t xml:space="preserve">4</t>
    </r>
    <r>
      <rPr>
        <sz val="10.5"/>
        <color rgb="FF0F1B3A"/>
        <rFont val="Noto Sans CJK SC"/>
        <family val="2"/>
      </rPr>
      <t xml:space="preserve">年目）</t>
    </r>
  </si>
  <si>
    <t xml:space="preserve">測定室</t>
  </si>
  <si>
    <t xml:space="preserve">D2-01</t>
  </si>
  <si>
    <t xml:space="preserve">ノギス・部品</t>
  </si>
  <si>
    <t xml:space="preserve">手袋の色をそろえる</t>
  </si>
  <si>
    <t xml:space="preserve">07</t>
  </si>
  <si>
    <t xml:space="preserve">先輩と若手が工程を相談</t>
  </si>
  <si>
    <t xml:space="preserve">トップ（組み立てる）</t>
  </si>
  <si>
    <t xml:space="preserve">相談しながら進める</t>
  </si>
  <si>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人の表情と図面</t>
    </r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</si>
  <si>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年目）・製造（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年目）</t>
    </r>
  </si>
  <si>
    <t xml:space="preserve">社外公開できる図面</t>
  </si>
  <si>
    <t xml:space="preserve">上下関係を強調しすぎない</t>
  </si>
  <si>
    <t xml:space="preserve">08</t>
  </si>
  <si>
    <t xml:space="preserve">段取り表を確認する若手</t>
  </si>
  <si>
    <t xml:space="preserve">トップ（働く一日）</t>
  </si>
  <si>
    <t xml:space="preserve">朝の段取りから一日が始まる</t>
  </si>
  <si>
    <t xml:space="preserve">機械の横で全身に近く</t>
  </si>
  <si>
    <t xml:space="preserve">若手製造</t>
  </si>
  <si>
    <t xml:space="preserve">D1-09</t>
  </si>
  <si>
    <t xml:space="preserve">架空の段取り表</t>
  </si>
  <si>
    <t xml:space="preserve">表の中身は架空</t>
  </si>
  <si>
    <t xml:space="preserve">09</t>
  </si>
  <si>
    <t xml:space="preserve">工場見学の案内</t>
  </si>
  <si>
    <t xml:space="preserve">トップ（はじめの一歩）</t>
  </si>
  <si>
    <t xml:space="preserve">見学で質問できる雰囲気</t>
  </si>
  <si>
    <r>
      <rPr>
        <sz val="10.5"/>
        <color rgb="FF0F1B3A"/>
        <rFont val="Noto Sans CJK SC"/>
        <family val="2"/>
      </rPr>
      <t xml:space="preserve">見学者役と社員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人</t>
    </r>
  </si>
  <si>
    <t xml:space="preserve">総務（案内）・見学者役・若手製造</t>
  </si>
  <si>
    <t xml:space="preserve">工場／通路</t>
  </si>
  <si>
    <t xml:space="preserve">D1-11</t>
  </si>
  <si>
    <t xml:space="preserve">見学用の保護具</t>
  </si>
  <si>
    <t xml:space="preserve">見学者役は私服</t>
  </si>
  <si>
    <t xml:space="preserve">10</t>
  </si>
  <si>
    <t xml:space="preserve">本社工場の外観</t>
  </si>
  <si>
    <t xml:space="preserve">会社情報</t>
  </si>
  <si>
    <t xml:space="preserve">会社の規模と雰囲気</t>
  </si>
  <si>
    <r>
      <rPr>
        <sz val="10.5"/>
        <color rgb="FF0F1B3A"/>
        <rFont val="Noto Sans CJK SC"/>
        <family val="2"/>
      </rPr>
      <t xml:space="preserve">横 </t>
    </r>
    <r>
      <rPr>
        <sz val="10.5"/>
        <color rgb="FF0F1B3A"/>
        <rFont val="Yu Gothic"/>
        <family val="0"/>
        <charset val="1"/>
      </rPr>
      <t xml:space="preserve">3:2</t>
    </r>
  </si>
  <si>
    <t xml:space="preserve">建物全体。垂直を整える</t>
  </si>
  <si>
    <t xml:space="preserve">屋外</t>
  </si>
  <si>
    <t xml:space="preserve">D1-01</t>
  </si>
  <si>
    <t xml:space="preserve">入口周辺の整理</t>
  </si>
  <si>
    <t xml:space="preserve">車両ナンバーを写さない</t>
  </si>
  <si>
    <t xml:space="preserve">11</t>
  </si>
  <si>
    <t xml:space="preserve">工場の全景</t>
  </si>
  <si>
    <t xml:space="preserve">明るく整った工場</t>
  </si>
  <si>
    <t xml:space="preserve">通路の奥まで</t>
  </si>
  <si>
    <t xml:space="preserve">通路の整理</t>
  </si>
  <si>
    <t xml:space="preserve">作業中の人は小さく</t>
  </si>
  <si>
    <t xml:space="preserve">12</t>
  </si>
  <si>
    <t xml:space="preserve">オフィス</t>
  </si>
  <si>
    <t xml:space="preserve">事務・設計の働く場所</t>
  </si>
  <si>
    <t xml:space="preserve">窓側から全体</t>
  </si>
  <si>
    <t xml:space="preserve">本社オフィス</t>
  </si>
  <si>
    <t xml:space="preserve">D2-04</t>
  </si>
  <si>
    <t xml:space="preserve">机上の整理</t>
  </si>
  <si>
    <t xml:space="preserve">画面・書類の写り込み</t>
  </si>
  <si>
    <t xml:space="preserve">13</t>
  </si>
  <si>
    <t xml:space="preserve">工場の通路と加工機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</si>
  <si>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分でわかる</t>
    </r>
  </si>
  <si>
    <t xml:space="preserve">機械が並ぶ現場</t>
  </si>
  <si>
    <t xml:space="preserve">通路の一点透視</t>
  </si>
  <si>
    <t xml:space="preserve">安全表示は残す</t>
  </si>
  <si>
    <t xml:space="preserve">14</t>
  </si>
  <si>
    <t xml:space="preserve">図面と部品の作業台</t>
  </si>
  <si>
    <t xml:space="preserve">募集要項</t>
  </si>
  <si>
    <t xml:space="preserve">図面の先に手を動かす仕事</t>
  </si>
  <si>
    <r>
      <rPr>
        <sz val="10.5"/>
        <color rgb="FF0F1B3A"/>
        <rFont val="Noto Sans CJK SC"/>
        <family val="2"/>
      </rPr>
      <t xml:space="preserve">横 </t>
    </r>
    <r>
      <rPr>
        <sz val="10.5"/>
        <color rgb="FF0F1B3A"/>
        <rFont val="Yu Gothic"/>
        <family val="0"/>
        <charset val="1"/>
      </rPr>
      <t xml:space="preserve">4:3</t>
    </r>
  </si>
  <si>
    <t xml:space="preserve">手元と図面</t>
  </si>
  <si>
    <t xml:space="preserve">若手製造（手元）</t>
  </si>
  <si>
    <t xml:space="preserve">工場／作業台</t>
  </si>
  <si>
    <t xml:space="preserve">社外公開できる図面・ノギス</t>
  </si>
  <si>
    <t xml:space="preserve">図面の品番を伏せる</t>
  </si>
  <si>
    <t xml:space="preserve">15</t>
  </si>
  <si>
    <t xml:space="preserve">社長ポートレート</t>
  </si>
  <si>
    <t xml:space="preserve">社長メッセージ</t>
  </si>
  <si>
    <t xml:space="preserve">社長の人柄</t>
  </si>
  <si>
    <t xml:space="preserve">胸上。工場を背景に</t>
  </si>
  <si>
    <t xml:space="preserve">D2-05</t>
  </si>
  <si>
    <t xml:space="preserve">服装を事前共有</t>
  </si>
  <si>
    <t xml:space="preserve">極端な補正はしない</t>
  </si>
  <si>
    <t xml:space="preserve">16</t>
  </si>
  <si>
    <t xml:space="preserve">社長と現場の社員</t>
  </si>
  <si>
    <t xml:space="preserve">現場で話を聞く社長</t>
  </si>
  <si>
    <r>
      <rPr>
        <sz val="10.5"/>
        <color rgb="FF0F1B3A"/>
        <rFont val="Noto Sans CJK SC"/>
        <family val="2"/>
      </rPr>
      <t xml:space="preserve">部品を囲む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</t>
    </r>
  </si>
  <si>
    <r>
      <rPr>
        <sz val="10.5"/>
        <color rgb="FF0F1B3A"/>
        <rFont val="Noto Sans CJK SC"/>
        <family val="2"/>
      </rPr>
      <t xml:space="preserve">社長・加工（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年目）・若手</t>
    </r>
  </si>
  <si>
    <t xml:space="preserve">部品</t>
  </si>
  <si>
    <t xml:space="preserve">会話の途中を撮る</t>
  </si>
  <si>
    <t xml:space="preserve">17</t>
  </si>
  <si>
    <t xml:space="preserve">部品の集合</t>
  </si>
  <si>
    <t xml:space="preserve">仕事の全体</t>
  </si>
  <si>
    <t xml:space="preserve">いろいろな部品をつくる</t>
  </si>
  <si>
    <t xml:space="preserve">形の違う部品を並べる</t>
  </si>
  <si>
    <t xml:space="preserve">測定室の作業台</t>
  </si>
  <si>
    <r>
      <rPr>
        <sz val="10.5"/>
        <color rgb="FF0F1B3A"/>
        <rFont val="Noto Sans CJK SC"/>
        <family val="2"/>
      </rPr>
      <t xml:space="preserve">社外公開できる部品</t>
    </r>
    <r>
      <rPr>
        <sz val="10.5"/>
        <color rgb="FF0F1B3A"/>
        <rFont val="Yu Gothic"/>
        <family val="0"/>
        <charset val="1"/>
      </rPr>
      <t xml:space="preserve">5</t>
    </r>
    <r>
      <rPr>
        <sz val="10.5"/>
        <color rgb="FF0F1B3A"/>
        <rFont val="Noto Sans CJK SC"/>
        <family val="2"/>
      </rPr>
      <t xml:space="preserve">点</t>
    </r>
  </si>
  <si>
    <t xml:space="preserve">並びのバランス</t>
  </si>
  <si>
    <t xml:space="preserve">18</t>
  </si>
  <si>
    <t xml:space="preserve">設計補助担当のポートレート</t>
  </si>
  <si>
    <t xml:space="preserve">設計補助</t>
  </si>
  <si>
    <t xml:space="preserve">図面で現場を支える人</t>
  </si>
  <si>
    <t xml:space="preserve">デスクで胸上</t>
  </si>
  <si>
    <t xml:space="preserve">設計補助担当</t>
  </si>
  <si>
    <t xml:space="preserve">D2-03</t>
  </si>
  <si>
    <r>
      <rPr>
        <sz val="10.5"/>
        <color rgb="FF0F1B3A"/>
        <rFont val="Yu Gothic"/>
        <family val="0"/>
        <charset val="1"/>
      </rPr>
      <t xml:space="preserve">CAD</t>
    </r>
    <r>
      <rPr>
        <sz val="10.5"/>
        <color rgb="FF0F1B3A"/>
        <rFont val="Noto Sans CJK SC"/>
        <family val="2"/>
      </rPr>
      <t xml:space="preserve">画面（架空データ）</t>
    </r>
  </si>
  <si>
    <t xml:space="preserve">画面は架空の図面</t>
  </si>
  <si>
    <t xml:space="preserve">19</t>
  </si>
  <si>
    <r>
      <rPr>
        <b val="true"/>
        <sz val="10.5"/>
        <color rgb="FF0F1B3A"/>
        <rFont val="Yu Gothic"/>
        <family val="0"/>
        <charset val="1"/>
      </rPr>
      <t xml:space="preserve">CAD</t>
    </r>
    <r>
      <rPr>
        <b val="true"/>
        <sz val="10.5"/>
        <color rgb="FF0F1B3A"/>
        <rFont val="Noto Sans CJK SC"/>
        <family val="2"/>
      </rPr>
      <t xml:space="preserve">で図面を確認</t>
    </r>
  </si>
  <si>
    <t xml:space="preserve">データと実物をつなぐ</t>
  </si>
  <si>
    <t xml:space="preserve">画面と横顔</t>
  </si>
  <si>
    <t xml:space="preserve">画面の文字を確認</t>
  </si>
  <si>
    <t xml:space="preserve">20</t>
  </si>
  <si>
    <t xml:space="preserve">加工機の前に立つ</t>
  </si>
  <si>
    <t xml:space="preserve">加工</t>
  </si>
  <si>
    <t xml:space="preserve">機械と向き合う仕事</t>
  </si>
  <si>
    <t xml:space="preserve">機械の扉と人物</t>
  </si>
  <si>
    <t xml:space="preserve">稼働中は扉を閉める</t>
  </si>
  <si>
    <t xml:space="preserve">21</t>
  </si>
  <si>
    <t xml:space="preserve">刃物と切粉のアップ</t>
  </si>
  <si>
    <t xml:space="preserve">削るという仕事の手ざわり</t>
  </si>
  <si>
    <t xml:space="preserve">マクロ。切粉に光を当てる</t>
  </si>
  <si>
    <t xml:space="preserve">D1-14</t>
  </si>
  <si>
    <t xml:space="preserve">停止中の工具</t>
  </si>
  <si>
    <t xml:space="preserve">刃物に触れない</t>
  </si>
  <si>
    <t xml:space="preserve">22</t>
  </si>
  <si>
    <t xml:space="preserve">作業場の全体</t>
  </si>
  <si>
    <t xml:space="preserve">働く環境</t>
  </si>
  <si>
    <t xml:space="preserve">道具がそろった職場</t>
  </si>
  <si>
    <t xml:space="preserve">作業台と機械を広く</t>
  </si>
  <si>
    <t xml:space="preserve">D1-10</t>
  </si>
  <si>
    <t xml:space="preserve">工具の整理</t>
  </si>
  <si>
    <t xml:space="preserve">整理された状態で</t>
  </si>
  <si>
    <t xml:space="preserve">23</t>
  </si>
  <si>
    <t xml:space="preserve">バリ取りの作業</t>
  </si>
  <si>
    <t xml:space="preserve">仕上げ</t>
  </si>
  <si>
    <t xml:space="preserve">最後のひと手間</t>
  </si>
  <si>
    <t xml:space="preserve">手元と表情</t>
  </si>
  <si>
    <t xml:space="preserve">仕上げ用の工具</t>
  </si>
  <si>
    <t xml:space="preserve">保護具の着用</t>
  </si>
  <si>
    <t xml:space="preserve">24</t>
  </si>
  <si>
    <r>
      <rPr>
        <b val="true"/>
        <sz val="10.5"/>
        <color rgb="FF0F1B3A"/>
        <rFont val="Noto Sans CJK SC"/>
        <family val="2"/>
      </rPr>
      <t xml:space="preserve">仕上がりを</t>
    </r>
    <r>
      <rPr>
        <b val="true"/>
        <sz val="10.5"/>
        <color rgb="FF0F1B3A"/>
        <rFont val="Yu Gothic"/>
        <family val="0"/>
        <charset val="1"/>
      </rPr>
      <t xml:space="preserve">2</t>
    </r>
    <r>
      <rPr>
        <b val="true"/>
        <sz val="10.5"/>
        <color rgb="FF0F1B3A"/>
        <rFont val="Noto Sans CJK SC"/>
        <family val="2"/>
      </rPr>
      <t xml:space="preserve">人で確認</t>
    </r>
  </si>
  <si>
    <t xml:space="preserve">気づいたことを伝え合う</t>
  </si>
  <si>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人と部品</t>
    </r>
  </si>
  <si>
    <r>
      <rPr>
        <sz val="10.5"/>
        <color rgb="FF0F1B3A"/>
        <rFont val="Noto Sans CJK SC"/>
        <family val="2"/>
      </rPr>
      <t xml:space="preserve">仕上げ担当・製造（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年目）</t>
    </r>
  </si>
  <si>
    <r>
      <rPr>
        <sz val="10.5"/>
        <color rgb="FF0F1B3A"/>
        <rFont val="Yu Gothic"/>
        <family val="0"/>
        <charset val="1"/>
      </rPr>
      <t xml:space="preserve">05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23</t>
    </r>
    <r>
      <rPr>
        <sz val="10.5"/>
        <color rgb="FF0F1B3A"/>
        <rFont val="Noto Sans CJK SC"/>
        <family val="2"/>
      </rPr>
      <t xml:space="preserve">と構図を変える</t>
    </r>
  </si>
  <si>
    <t xml:space="preserve">25</t>
  </si>
  <si>
    <t xml:space="preserve">デジタル測定器</t>
  </si>
  <si>
    <t xml:space="preserve">品質管理</t>
  </si>
  <si>
    <t xml:space="preserve">数字で確かめる</t>
  </si>
  <si>
    <t xml:space="preserve">測定器と部品</t>
  </si>
  <si>
    <t xml:space="preserve">なし（手元）</t>
  </si>
  <si>
    <t xml:space="preserve">測定器・部品</t>
  </si>
  <si>
    <t xml:space="preserve">表示の数字を確認</t>
  </si>
  <si>
    <t xml:space="preserve">26</t>
  </si>
  <si>
    <t xml:space="preserve">測定する品質管理担当</t>
  </si>
  <si>
    <t xml:space="preserve">文系出身でも向き合える仕事</t>
  </si>
  <si>
    <t xml:space="preserve">部品を手に持つ表情</t>
  </si>
  <si>
    <r>
      <rPr>
        <sz val="10.5"/>
        <color rgb="FF0F1B3A"/>
        <rFont val="Yu Gothic"/>
        <family val="0"/>
        <charset val="1"/>
      </rPr>
      <t xml:space="preserve">31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32</t>
    </r>
    <r>
      <rPr>
        <sz val="10.5"/>
        <color rgb="FF0F1B3A"/>
        <rFont val="Noto Sans CJK SC"/>
        <family val="2"/>
      </rPr>
      <t xml:space="preserve">と服装をそろえる</t>
    </r>
  </si>
  <si>
    <t xml:space="preserve">27</t>
  </si>
  <si>
    <t xml:space="preserve">組み立ての作業</t>
  </si>
  <si>
    <t xml:space="preserve">組み立て</t>
  </si>
  <si>
    <t xml:space="preserve">部品が動く形になる</t>
  </si>
  <si>
    <r>
      <rPr>
        <sz val="10.5"/>
        <color rgb="FF0F1B3A"/>
        <rFont val="Noto Sans CJK SC"/>
        <family val="2"/>
      </rPr>
      <t xml:space="preserve">手元と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人</t>
    </r>
  </si>
  <si>
    <t xml:space="preserve">組立担当・若手</t>
  </si>
  <si>
    <t xml:space="preserve">組立途中の部品</t>
  </si>
  <si>
    <t xml:space="preserve">工具の置き方</t>
  </si>
  <si>
    <t xml:space="preserve">28</t>
  </si>
  <si>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人で図面を確認</t>
    </r>
  </si>
  <si>
    <t xml:space="preserve">組み立て／仕事の全体</t>
  </si>
  <si>
    <t xml:space="preserve">チームでつくる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</si>
  <si>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人と図面</t>
    </r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</si>
  <si>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年目）・若手製造・製造（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年目）</t>
    </r>
  </si>
  <si>
    <t xml:space="preserve">全員の顔が見える位置</t>
  </si>
  <si>
    <t xml:space="preserve">29</t>
  </si>
  <si>
    <r>
      <rPr>
        <b val="true"/>
        <sz val="10.5"/>
        <color rgb="FF0F1B3A"/>
        <rFont val="Noto Sans CJK SC"/>
        <family val="2"/>
      </rPr>
      <t xml:space="preserve">製造（</t>
    </r>
    <r>
      <rPr>
        <b val="true"/>
        <sz val="10.5"/>
        <color rgb="FF0F1B3A"/>
        <rFont val="Yu Gothic"/>
        <family val="0"/>
        <charset val="1"/>
      </rPr>
      <t xml:space="preserve">2</t>
    </r>
    <r>
      <rPr>
        <b val="true"/>
        <sz val="10.5"/>
        <color rgb="FF0F1B3A"/>
        <rFont val="Noto Sans CJK SC"/>
        <family val="2"/>
      </rPr>
      <t xml:space="preserve">年目）ポートレート</t>
    </r>
  </si>
  <si>
    <t xml:space="preserve">製造インタビュー</t>
  </si>
  <si>
    <t xml:space="preserve">未経験から始めた人</t>
  </si>
  <si>
    <t xml:space="preserve">部品を持って胸上</t>
  </si>
  <si>
    <r>
      <rPr>
        <sz val="10.5"/>
        <color rgb="FF0F1B3A"/>
        <rFont val="Noto Sans CJK SC"/>
        <family val="2"/>
      </rPr>
      <t xml:space="preserve">製造（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年目）</t>
    </r>
  </si>
  <si>
    <t xml:space="preserve">D1-06</t>
  </si>
  <si>
    <t xml:space="preserve">作業着・帽子・手袋</t>
  </si>
  <si>
    <r>
      <rPr>
        <sz val="10.5"/>
        <color rgb="FF0F1B3A"/>
        <rFont val="Yu Gothic"/>
        <family val="0"/>
        <charset val="1"/>
      </rPr>
      <t xml:space="preserve">30</t>
    </r>
    <r>
      <rPr>
        <sz val="10.5"/>
        <color rgb="FF0F1B3A"/>
        <rFont val="Noto Sans CJK SC"/>
        <family val="2"/>
      </rPr>
      <t xml:space="preserve">と同じ服装</t>
    </r>
  </si>
  <si>
    <t xml:space="preserve">30</t>
  </si>
  <si>
    <t xml:space="preserve">図面を見て道具を準備</t>
  </si>
  <si>
    <t xml:space="preserve">最初に困ったこと</t>
  </si>
  <si>
    <t xml:space="preserve">工具棚と人物</t>
  </si>
  <si>
    <t xml:space="preserve">工具・図面</t>
  </si>
  <si>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と構図を変える</t>
    </r>
  </si>
  <si>
    <t xml:space="preserve">31</t>
  </si>
  <si>
    <r>
      <rPr>
        <b val="true"/>
        <sz val="10.5"/>
        <color rgb="FF0F1B3A"/>
        <rFont val="Noto Sans CJK SC"/>
        <family val="2"/>
      </rPr>
      <t xml:space="preserve">品質管理（</t>
    </r>
    <r>
      <rPr>
        <b val="true"/>
        <sz val="10.5"/>
        <color rgb="FF0F1B3A"/>
        <rFont val="Yu Gothic"/>
        <family val="0"/>
        <charset val="1"/>
      </rPr>
      <t xml:space="preserve">4</t>
    </r>
    <r>
      <rPr>
        <b val="true"/>
        <sz val="10.5"/>
        <color rgb="FF0F1B3A"/>
        <rFont val="Noto Sans CJK SC"/>
        <family val="2"/>
      </rPr>
      <t xml:space="preserve">年目）ポートレート</t>
    </r>
  </si>
  <si>
    <t xml:space="preserve">品質管理インタビュー</t>
  </si>
  <si>
    <r>
      <rPr>
        <sz val="10.5"/>
        <color rgb="FF0F1B3A"/>
        <rFont val="Noto Sans CJK SC"/>
        <family val="2"/>
      </rPr>
      <t xml:space="preserve">文系から</t>
    </r>
    <r>
      <rPr>
        <sz val="10.5"/>
        <color rgb="FF0F1B3A"/>
        <rFont val="Yu Gothic"/>
        <family val="0"/>
        <charset val="1"/>
      </rPr>
      <t xml:space="preserve">0.01mm</t>
    </r>
    <r>
      <rPr>
        <sz val="10.5"/>
        <color rgb="FF0F1B3A"/>
        <rFont val="Noto Sans CJK SC"/>
        <family val="2"/>
      </rPr>
      <t xml:space="preserve">へ</t>
    </r>
  </si>
  <si>
    <t xml:space="preserve">笑顔の胸上</t>
  </si>
  <si>
    <t xml:space="preserve">D2-02</t>
  </si>
  <si>
    <t xml:space="preserve">作業着</t>
  </si>
  <si>
    <r>
      <rPr>
        <sz val="10.5"/>
        <color rgb="FF0F1B3A"/>
        <rFont val="Yu Gothic"/>
        <family val="0"/>
        <charset val="1"/>
      </rPr>
      <t xml:space="preserve">26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32</t>
    </r>
    <r>
      <rPr>
        <sz val="10.5"/>
        <color rgb="FF0F1B3A"/>
        <rFont val="Noto Sans CJK SC"/>
        <family val="2"/>
      </rPr>
      <t xml:space="preserve">と同じ人物</t>
    </r>
  </si>
  <si>
    <t xml:space="preserve">32</t>
  </si>
  <si>
    <t xml:space="preserve">測定の場面</t>
  </si>
  <si>
    <t xml:space="preserve">同じ方法で確かめる</t>
  </si>
  <si>
    <t xml:space="preserve">測定器と横顔</t>
  </si>
  <si>
    <r>
      <rPr>
        <sz val="10.5"/>
        <color rgb="FF0F1B3A"/>
        <rFont val="Yu Gothic"/>
        <family val="0"/>
        <charset val="1"/>
      </rPr>
      <t xml:space="preserve">31</t>
    </r>
    <r>
      <rPr>
        <sz val="10.5"/>
        <color rgb="FF0F1B3A"/>
        <rFont val="Noto Sans CJK SC"/>
        <family val="2"/>
      </rPr>
      <t xml:space="preserve">と構図を変える</t>
    </r>
  </si>
  <si>
    <t xml:space="preserve">33</t>
  </si>
  <si>
    <t xml:space="preserve">後輩と図面を相談</t>
  </si>
  <si>
    <t xml:space="preserve">加工インタビュー</t>
  </si>
  <si>
    <r>
      <rPr>
        <sz val="10.5"/>
        <color rgb="FF0F1B3A"/>
        <rFont val="Noto Sans CJK SC"/>
        <family val="2"/>
      </rPr>
      <t xml:space="preserve">教える側になった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</t>
    </r>
  </si>
  <si>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人と図面</t>
    </r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</si>
  <si>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年目）・新人</t>
    </r>
    <r>
      <rPr>
        <sz val="10.5"/>
        <color rgb="FF0F1B3A"/>
        <rFont val="Yu Gothic"/>
        <family val="0"/>
        <charset val="1"/>
      </rPr>
      <t xml:space="preserve">C</t>
    </r>
  </si>
  <si>
    <t xml:space="preserve">D1-07</t>
  </si>
  <si>
    <r>
      <rPr>
        <sz val="10.5"/>
        <color rgb="FF0F1B3A"/>
        <rFont val="Yu Gothic"/>
        <family val="0"/>
        <charset val="1"/>
      </rPr>
      <t xml:space="preserve">04</t>
    </r>
    <r>
      <rPr>
        <sz val="10.5"/>
        <color rgb="FF0F1B3A"/>
        <rFont val="Noto Sans CJK SC"/>
        <family val="2"/>
      </rPr>
      <t xml:space="preserve">と構図を変える</t>
    </r>
  </si>
  <si>
    <t xml:space="preserve">34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</si>
  <si>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人の集合</t>
    </r>
  </si>
  <si>
    <t xml:space="preserve">新入社員座談会</t>
  </si>
  <si>
    <t xml:space="preserve">同期の距離感</t>
  </si>
  <si>
    <r>
      <rPr>
        <sz val="10.5"/>
        <color rgb="FF0F1B3A"/>
        <rFont val="Noto Sans CJK SC"/>
        <family val="2"/>
      </rPr>
      <t xml:space="preserve">縦 </t>
    </r>
    <r>
      <rPr>
        <sz val="10.5"/>
        <color rgb="FF0F1B3A"/>
        <rFont val="Yu Gothic"/>
        <family val="0"/>
        <charset val="1"/>
      </rPr>
      <t xml:space="preserve">2:3</t>
    </r>
  </si>
  <si>
    <t xml:space="preserve">工場入口に並ぶ全身</t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</si>
  <si>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A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B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C</t>
    </r>
  </si>
  <si>
    <t xml:space="preserve">工場／入口</t>
  </si>
  <si>
    <t xml:space="preserve">D2-07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</si>
  <si>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人の身長差に注意</t>
    </r>
  </si>
  <si>
    <t xml:space="preserve">35</t>
  </si>
  <si>
    <t xml:space="preserve">座談会の会話</t>
  </si>
  <si>
    <t xml:space="preserve">新入社員座談会／トップ</t>
  </si>
  <si>
    <t xml:space="preserve">本音で話す雰囲気</t>
  </si>
  <si>
    <r>
      <rPr>
        <sz val="10.5"/>
        <color rgb="FF0F1B3A"/>
        <rFont val="Noto Sans CJK SC"/>
        <family val="2"/>
      </rPr>
      <t xml:space="preserve">テーブルを囲む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</t>
    </r>
  </si>
  <si>
    <t xml:space="preserve">休憩室</t>
  </si>
  <si>
    <t xml:space="preserve">飲み物</t>
  </si>
  <si>
    <t xml:space="preserve">笑顔に限定しない</t>
  </si>
  <si>
    <t xml:space="preserve">36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</si>
  <si>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A </t>
    </r>
    <r>
      <rPr>
        <b val="true"/>
        <sz val="10.5"/>
        <color rgb="FF0F1B3A"/>
        <rFont val="Noto Sans CJK SC"/>
        <family val="2"/>
      </rPr>
      <t xml:space="preserve">プロフィール</t>
    </r>
  </si>
  <si>
    <t xml:space="preserve">元アパレル販売からの転職</t>
  </si>
  <si>
    <t xml:space="preserve">胸上</t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</si>
  <si>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A</t>
    </r>
  </si>
  <si>
    <r>
      <rPr>
        <sz val="10.5"/>
        <color rgb="FF0F1B3A"/>
        <rFont val="Yu Gothic"/>
        <family val="0"/>
        <charset val="1"/>
      </rPr>
      <t xml:space="preserve">37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38</t>
    </r>
    <r>
      <rPr>
        <sz val="10.5"/>
        <color rgb="FF0F1B3A"/>
        <rFont val="Noto Sans CJK SC"/>
        <family val="2"/>
      </rPr>
      <t xml:space="preserve">と背景をそろえる</t>
    </r>
  </si>
  <si>
    <t xml:space="preserve">37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</si>
  <si>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B </t>
    </r>
    <r>
      <rPr>
        <b val="true"/>
        <sz val="10.5"/>
        <color rgb="FF0F1B3A"/>
        <rFont val="Noto Sans CJK SC"/>
        <family val="2"/>
      </rPr>
      <t xml:space="preserve">プロフィール</t>
    </r>
  </si>
  <si>
    <t xml:space="preserve">経済学部から品質管理へ</t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</si>
  <si>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B</t>
    </r>
  </si>
  <si>
    <r>
      <rPr>
        <sz val="10.5"/>
        <color rgb="FF0F1B3A"/>
        <rFont val="Yu Gothic"/>
        <family val="0"/>
        <charset val="1"/>
      </rPr>
      <t xml:space="preserve">36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38</t>
    </r>
    <r>
      <rPr>
        <sz val="10.5"/>
        <color rgb="FF0F1B3A"/>
        <rFont val="Noto Sans CJK SC"/>
        <family val="2"/>
      </rPr>
      <t xml:space="preserve">と背景をそろえる</t>
    </r>
  </si>
  <si>
    <t xml:space="preserve">38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</si>
  <si>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C </t>
    </r>
    <r>
      <rPr>
        <b val="true"/>
        <sz val="10.5"/>
        <color rgb="FF0F1B3A"/>
        <rFont val="Noto Sans CJK SC"/>
        <family val="2"/>
      </rPr>
      <t xml:space="preserve">プロフィール</t>
    </r>
  </si>
  <si>
    <t xml:space="preserve">経営学部から加工へ</t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</si>
  <si>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C</t>
    </r>
  </si>
  <si>
    <r>
      <rPr>
        <sz val="10.5"/>
        <color rgb="FF0F1B3A"/>
        <rFont val="Yu Gothic"/>
        <family val="0"/>
        <charset val="1"/>
      </rPr>
      <t xml:space="preserve">36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37</t>
    </r>
    <r>
      <rPr>
        <sz val="10.5"/>
        <color rgb="FF0F1B3A"/>
        <rFont val="Noto Sans CJK SC"/>
        <family val="2"/>
      </rPr>
      <t xml:space="preserve">と背景をそろえる</t>
    </r>
  </si>
  <si>
    <t xml:space="preserve">39</t>
  </si>
  <si>
    <t xml:space="preserve">先輩と新人が部品を確認</t>
  </si>
  <si>
    <t xml:space="preserve">一緒に確かめる育成</t>
  </si>
  <si>
    <r>
      <rPr>
        <sz val="10.5"/>
        <color rgb="FF0F1B3A"/>
        <rFont val="Noto Sans CJK SC"/>
        <family val="2"/>
      </rPr>
      <t xml:space="preserve">先輩社員・新人</t>
    </r>
    <r>
      <rPr>
        <sz val="10.5"/>
        <color rgb="FF0F1B3A"/>
        <rFont val="Yu Gothic"/>
        <family val="0"/>
        <charset val="1"/>
      </rPr>
      <t xml:space="preserve">B</t>
    </r>
  </si>
  <si>
    <t xml:space="preserve">指導の場面を自然に</t>
  </si>
  <si>
    <t xml:space="preserve">40</t>
  </si>
  <si>
    <r>
      <rPr>
        <b val="true"/>
        <sz val="10.5"/>
        <color rgb="FF0F1B3A"/>
        <rFont val="Noto Sans CJK SC"/>
        <family val="2"/>
      </rPr>
      <t xml:space="preserve">先輩の説明を聞く新人</t>
    </r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人</t>
    </r>
  </si>
  <si>
    <r>
      <rPr>
        <sz val="10.5"/>
        <color rgb="FF0F1B3A"/>
        <rFont val="Noto Sans CJK SC"/>
        <family val="2"/>
      </rPr>
      <t xml:space="preserve">新卒採用（</t>
    </r>
    <r>
      <rPr>
        <sz val="10.5"/>
        <color rgb="FF0F1B3A"/>
        <rFont val="Yu Gothic"/>
        <family val="0"/>
        <charset val="1"/>
      </rPr>
      <t xml:space="preserve">FV</t>
    </r>
    <r>
      <rPr>
        <sz val="10.5"/>
        <color rgb="FF0F1B3A"/>
        <rFont val="Noto Sans CJK SC"/>
        <family val="2"/>
      </rPr>
      <t xml:space="preserve">）</t>
    </r>
  </si>
  <si>
    <t xml:space="preserve">入ってから覚えればいい</t>
  </si>
  <si>
    <r>
      <rPr>
        <sz val="10.5"/>
        <color rgb="FF0F1B3A"/>
        <rFont val="Noto Sans CJK SC"/>
        <family val="2"/>
      </rPr>
      <t xml:space="preserve">縦 </t>
    </r>
    <r>
      <rPr>
        <sz val="10.5"/>
        <color rgb="FF0F1B3A"/>
        <rFont val="Yu Gothic"/>
        <family val="0"/>
        <charset val="1"/>
      </rPr>
      <t xml:space="preserve">4:5</t>
    </r>
  </si>
  <si>
    <r>
      <rPr>
        <sz val="10.5"/>
        <color rgb="FF0F1B3A"/>
        <rFont val="Noto Sans CJK SC"/>
        <family val="2"/>
      </rPr>
      <t xml:space="preserve">先輩と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人。手元の部品</t>
    </r>
  </si>
  <si>
    <r>
      <rPr>
        <sz val="10.5"/>
        <color rgb="FF0F1B3A"/>
        <rFont val="Noto Sans CJK SC"/>
        <family val="2"/>
      </rPr>
      <t xml:space="preserve">先輩社員・新人</t>
    </r>
    <r>
      <rPr>
        <sz val="10.5"/>
        <color rgb="FF0F1B3A"/>
        <rFont val="Yu Gothic"/>
        <family val="0"/>
        <charset val="1"/>
      </rPr>
      <t xml:space="preserve">A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B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C</t>
    </r>
  </si>
  <si>
    <t xml:space="preserve">D1-12</t>
  </si>
  <si>
    <t xml:space="preserve">部品・メモ帳</t>
  </si>
  <si>
    <r>
      <rPr>
        <sz val="10.5"/>
        <color rgb="FF0F1B3A"/>
        <rFont val="Yu Gothic"/>
        <family val="0"/>
        <charset val="1"/>
      </rPr>
      <t xml:space="preserve">34</t>
    </r>
    <r>
      <rPr>
        <sz val="10.5"/>
        <color rgb="FF0F1B3A"/>
        <rFont val="Noto Sans CJK SC"/>
        <family val="2"/>
      </rPr>
      <t xml:space="preserve">の集合写真と構図を変える</t>
    </r>
  </si>
  <si>
    <t xml:space="preserve">41</t>
  </si>
  <si>
    <t xml:space="preserve">マイクロメータで測る中途入社の社員</t>
  </si>
  <si>
    <r>
      <rPr>
        <sz val="10.5"/>
        <color rgb="FF0F1B3A"/>
        <rFont val="Noto Sans CJK SC"/>
        <family val="2"/>
      </rPr>
      <t xml:space="preserve">中途採用（</t>
    </r>
    <r>
      <rPr>
        <sz val="10.5"/>
        <color rgb="FF0F1B3A"/>
        <rFont val="Yu Gothic"/>
        <family val="0"/>
        <charset val="1"/>
      </rPr>
      <t xml:space="preserve">FV</t>
    </r>
    <r>
      <rPr>
        <sz val="10.5"/>
        <color rgb="FF0F1B3A"/>
        <rFont val="Noto Sans CJK SC"/>
        <family val="2"/>
      </rPr>
      <t xml:space="preserve">）</t>
    </r>
  </si>
  <si>
    <r>
      <rPr>
        <sz val="10.5"/>
        <color rgb="FF0F1B3A"/>
        <rFont val="Noto Sans CJK SC"/>
        <family val="2"/>
      </rPr>
      <t xml:space="preserve">前職から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年目。測って、記録して、次の工程へ</t>
    </r>
  </si>
  <si>
    <t xml:space="preserve">マシニングセンタを背景に腰上。手元のマイクロメータとメモ</t>
  </si>
  <si>
    <t xml:space="preserve">マイクロメータ・加工後の部品・メモ帳・図面</t>
  </si>
  <si>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30</t>
    </r>
    <r>
      <rPr>
        <sz val="10.5"/>
        <color rgb="FF0F1B3A"/>
        <rFont val="Noto Sans CJK SC"/>
        <family val="2"/>
      </rPr>
      <t xml:space="preserve">と服装をそろえる</t>
    </r>
  </si>
  <si>
    <r>
      <rPr>
        <b val="true"/>
        <sz val="18"/>
        <color rgb="FF0F1B3A"/>
        <rFont val="Noto Sans CJK SC"/>
        <family val="2"/>
      </rPr>
      <t xml:space="preserve">撮影香盤表（</t>
    </r>
    <r>
      <rPr>
        <b val="true"/>
        <sz val="18"/>
        <color rgb="FF0F1B3A"/>
        <rFont val="Yu Gothic"/>
        <family val="0"/>
        <charset val="1"/>
      </rPr>
      <t xml:space="preserve">2</t>
    </r>
    <r>
      <rPr>
        <b val="true"/>
        <sz val="18"/>
        <color rgb="FF0F1B3A"/>
        <rFont val="Noto Sans CJK SC"/>
        <family val="2"/>
      </rPr>
      <t xml:space="preserve">日間）</t>
    </r>
  </si>
  <si>
    <r>
      <rPr>
        <sz val="9.5"/>
        <color rgb="FF4A5468"/>
        <rFont val="Noto Sans CJK SC"/>
        <family val="2"/>
      </rPr>
      <t xml:space="preserve">青澄テクニカ 採用サイト制作計画（デモ）｜撮影</t>
    </r>
    <r>
      <rPr>
        <sz val="9.5"/>
        <color rgb="FF4A5468"/>
        <rFont val="Yu Gothic"/>
        <family val="0"/>
        <charset val="1"/>
      </rPr>
      <t xml:space="preserve">2</t>
    </r>
    <r>
      <rPr>
        <sz val="9.5"/>
        <color rgb="FF4A5468"/>
        <rFont val="Noto Sans CJK SC"/>
        <family val="2"/>
      </rPr>
      <t xml:space="preserve">日間のタイムテーブル</t>
    </r>
  </si>
  <si>
    <r>
      <rPr>
        <sz val="10"/>
        <color rgb="FF4A5468"/>
        <rFont val="Yu Gothic"/>
        <family val="0"/>
        <charset val="1"/>
      </rPr>
      <t xml:space="preserve">1</t>
    </r>
    <r>
      <rPr>
        <sz val="10"/>
        <color rgb="FF4A5468"/>
        <rFont val="Noto Sans CJK SC"/>
        <family val="2"/>
      </rPr>
      <t xml:space="preserve">日目：本社工場 </t>
    </r>
    <r>
      <rPr>
        <sz val="10"/>
        <color rgb="FF4A5468"/>
        <rFont val="Yu Gothic"/>
        <family val="0"/>
        <charset val="1"/>
      </rPr>
      <t xml:space="preserve">8:30–18:15</t>
    </r>
    <r>
      <rPr>
        <sz val="10"/>
        <color rgb="FF4A5468"/>
        <rFont val="Noto Sans CJK SC"/>
        <family val="2"/>
      </rPr>
      <t xml:space="preserve">　</t>
    </r>
    <r>
      <rPr>
        <sz val="10"/>
        <color rgb="FF4A5468"/>
        <rFont val="Yu Gothic"/>
        <family val="0"/>
        <charset val="1"/>
      </rPr>
      <t xml:space="preserve">2</t>
    </r>
    <r>
      <rPr>
        <sz val="10"/>
        <color rgb="FF4A5468"/>
        <rFont val="Noto Sans CJK SC"/>
        <family val="2"/>
      </rPr>
      <t xml:space="preserve">日目：測定室・オフィス </t>
    </r>
    <r>
      <rPr>
        <sz val="10"/>
        <color rgb="FF4A5468"/>
        <rFont val="Yu Gothic"/>
        <family val="0"/>
        <charset val="1"/>
      </rPr>
      <t xml:space="preserve">9:00–17:00</t>
    </r>
    <r>
      <rPr>
        <sz val="10"/>
        <color rgb="FF4A5468"/>
        <rFont val="Noto Sans CJK SC"/>
        <family val="2"/>
      </rPr>
      <t xml:space="preserve">。取材・撮影の順序は仮設定。</t>
    </r>
  </si>
  <si>
    <r>
      <rPr>
        <sz val="10"/>
        <color rgb="FF4A5468"/>
        <rFont val="Noto Sans CJK SC"/>
        <family val="2"/>
      </rPr>
      <t xml:space="preserve">機械の稼働を止めずに撮れる時間帯を工場長と調整。制作班はライター</t>
    </r>
    <r>
      <rPr>
        <sz val="10"/>
        <color rgb="FF4A5468"/>
        <rFont val="Yu Gothic"/>
        <family val="0"/>
        <charset val="1"/>
      </rPr>
      <t xml:space="preserve">1</t>
    </r>
    <r>
      <rPr>
        <sz val="10"/>
        <color rgb="FF4A5468"/>
        <rFont val="Noto Sans CJK SC"/>
        <family val="2"/>
      </rPr>
      <t xml:space="preserve">名・カメラマン</t>
    </r>
    <r>
      <rPr>
        <sz val="10"/>
        <color rgb="FF4A5468"/>
        <rFont val="Yu Gothic"/>
        <family val="0"/>
        <charset val="1"/>
      </rPr>
      <t xml:space="preserve">1</t>
    </r>
    <r>
      <rPr>
        <sz val="10"/>
        <color rgb="FF4A5468"/>
        <rFont val="Noto Sans CJK SC"/>
        <family val="2"/>
      </rPr>
      <t xml:space="preserve">名・編集ディレクター</t>
    </r>
    <r>
      <rPr>
        <sz val="10"/>
        <color rgb="FF4A5468"/>
        <rFont val="Yu Gothic"/>
        <family val="0"/>
        <charset val="1"/>
      </rPr>
      <t xml:space="preserve">1</t>
    </r>
    <r>
      <rPr>
        <sz val="10"/>
        <color rgb="FF4A5468"/>
        <rFont val="Noto Sans CJK SC"/>
        <family val="2"/>
      </rPr>
      <t xml:space="preserve">名。</t>
    </r>
  </si>
  <si>
    <t xml:space="preserve">撮影エリアでは保護めがね・安全靴を着用。図面・部品は社外公開できるものだけを使用。</t>
  </si>
  <si>
    <t xml:space="preserve">終了</t>
  </si>
  <si>
    <t xml:space="preserve">所要（分）</t>
  </si>
  <si>
    <t xml:space="preserve">撮影場所</t>
  </si>
  <si>
    <t xml:space="preserve">補足・移動・休憩</t>
  </si>
  <si>
    <t xml:space="preserve">D1-00</t>
  </si>
  <si>
    <t xml:space="preserve">集合・安全説明・保護具の着用</t>
  </si>
  <si>
    <t xml:space="preserve">総務窓口・制作班</t>
  </si>
  <si>
    <t xml:space="preserve">会議室</t>
  </si>
  <si>
    <t xml:space="preserve">立入範囲・撮影できる機械を確認</t>
  </si>
  <si>
    <t xml:space="preserve">総務窓口／全員</t>
  </si>
  <si>
    <t xml:space="preserve">外観・工場全景</t>
  </si>
  <si>
    <t xml:space="preserve">屋外・工場通路</t>
  </si>
  <si>
    <r>
      <rPr>
        <sz val="10.5"/>
        <color rgb="FF0F1B3A"/>
        <rFont val="Yu Gothic"/>
        <family val="0"/>
        <charset val="1"/>
      </rPr>
      <t xml:space="preserve">10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13</t>
    </r>
  </si>
  <si>
    <r>
      <rPr>
        <sz val="10.5"/>
        <color rgb="FF0F1B3A"/>
        <rFont val="Noto Sans CJK SC"/>
        <family val="2"/>
      </rPr>
      <t xml:space="preserve">雨天は</t>
    </r>
    <r>
      <rPr>
        <sz val="10.5"/>
        <color rgb="FF0F1B3A"/>
        <rFont val="Yu Gothic"/>
        <family val="0"/>
        <charset val="1"/>
      </rPr>
      <t xml:space="preserve">D1-13</t>
    </r>
    <r>
      <rPr>
        <sz val="10.5"/>
        <color rgb="FF0F1B3A"/>
        <rFont val="Noto Sans CJK SC"/>
        <family val="2"/>
      </rPr>
      <t xml:space="preserve">で撮影</t>
    </r>
  </si>
  <si>
    <t xml:space="preserve">部品の物撮り</t>
  </si>
  <si>
    <r>
      <rPr>
        <sz val="10.5"/>
        <color rgb="FF0F1B3A"/>
        <rFont val="Yu Gothic"/>
        <family val="0"/>
        <charset val="1"/>
      </rPr>
      <t xml:space="preserve">01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02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17</t>
    </r>
  </si>
  <si>
    <t xml:space="preserve">部品の汚れを拭き取る</t>
  </si>
  <si>
    <t xml:space="preserve">加工の工程</t>
  </si>
  <si>
    <t xml:space="preserve">加工エリア</t>
  </si>
  <si>
    <r>
      <rPr>
        <sz val="10.5"/>
        <color rgb="FF0F1B3A"/>
        <rFont val="Yu Gothic"/>
        <family val="0"/>
        <charset val="1"/>
      </rPr>
      <t xml:space="preserve">04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20</t>
    </r>
  </si>
  <si>
    <t xml:space="preserve">稼働中は扉を閉めて撮影</t>
  </si>
  <si>
    <t xml:space="preserve">カメラマン／工場長</t>
  </si>
  <si>
    <t xml:space="preserve">仕上げの工程</t>
  </si>
  <si>
    <t xml:space="preserve">仕上げエリア</t>
  </si>
  <si>
    <r>
      <rPr>
        <sz val="10.5"/>
        <color rgb="FF0F1B3A"/>
        <rFont val="Yu Gothic"/>
        <family val="0"/>
        <charset val="1"/>
      </rPr>
      <t xml:space="preserve">05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23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24</t>
    </r>
  </si>
  <si>
    <t xml:space="preserve">保護具の着用を確認</t>
  </si>
  <si>
    <t xml:space="preserve">組み立て・ロボット装置</t>
  </si>
  <si>
    <r>
      <rPr>
        <sz val="10.5"/>
        <color rgb="FF0F1B3A"/>
        <rFont val="Noto Sans CJK SC"/>
        <family val="2"/>
      </rPr>
      <t xml:space="preserve">組立担当・加工（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年目）・若手製造</t>
    </r>
  </si>
  <si>
    <t xml:space="preserve">組立エリア</t>
  </si>
  <si>
    <r>
      <rPr>
        <sz val="10.5"/>
        <color rgb="FF0F1B3A"/>
        <rFont val="Yu Gothic"/>
        <family val="0"/>
        <charset val="1"/>
      </rPr>
      <t xml:space="preserve">03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07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28</t>
    </r>
  </si>
  <si>
    <t xml:space="preserve">装置は停止中に撮影</t>
  </si>
  <si>
    <t xml:space="preserve">D1-L</t>
  </si>
  <si>
    <t xml:space="preserve">昼休憩・データ保存</t>
  </si>
  <si>
    <t xml:space="preserve">制作班</t>
  </si>
  <si>
    <t xml:space="preserve">工場の昼休みと合わせる</t>
  </si>
  <si>
    <r>
      <rPr>
        <b val="true"/>
        <sz val="10.5"/>
        <color rgb="FF0F1B3A"/>
        <rFont val="Noto Sans CJK SC"/>
        <family val="2"/>
      </rPr>
      <t xml:space="preserve">製造（</t>
    </r>
    <r>
      <rPr>
        <b val="true"/>
        <sz val="10.5"/>
        <color rgb="FF0F1B3A"/>
        <rFont val="Yu Gothic"/>
        <family val="0"/>
        <charset val="1"/>
      </rPr>
      <t xml:space="preserve">2</t>
    </r>
    <r>
      <rPr>
        <b val="true"/>
        <sz val="10.5"/>
        <color rgb="FF0F1B3A"/>
        <rFont val="Noto Sans CJK SC"/>
        <family val="2"/>
      </rPr>
      <t xml:space="preserve">年目）取材・撮影</t>
    </r>
  </si>
  <si>
    <t xml:space="preserve">会議室・加工エリア</t>
  </si>
  <si>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30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41</t>
    </r>
  </si>
  <si>
    <r>
      <rPr>
        <sz val="10.5"/>
        <color rgb="FF0F1B3A"/>
        <rFont val="Noto Sans CJK SC"/>
        <family val="2"/>
      </rPr>
      <t xml:space="preserve">取材</t>
    </r>
    <r>
      <rPr>
        <sz val="10.5"/>
        <color rgb="FF0F1B3A"/>
        <rFont val="Yu Gothic"/>
        <family val="0"/>
        <charset val="1"/>
      </rPr>
      <t xml:space="preserve">30</t>
    </r>
    <r>
      <rPr>
        <sz val="10.5"/>
        <color rgb="FF0F1B3A"/>
        <rFont val="Noto Sans CJK SC"/>
        <family val="2"/>
      </rPr>
      <t xml:space="preserve">分、撮影</t>
    </r>
    <r>
      <rPr>
        <sz val="10.5"/>
        <color rgb="FF0F1B3A"/>
        <rFont val="Yu Gothic"/>
        <family val="0"/>
        <charset val="1"/>
      </rPr>
      <t xml:space="preserve">15</t>
    </r>
    <r>
      <rPr>
        <sz val="10.5"/>
        <color rgb="FF0F1B3A"/>
        <rFont val="Noto Sans CJK SC"/>
        <family val="2"/>
      </rPr>
      <t xml:space="preserve">分（中途採用</t>
    </r>
    <r>
      <rPr>
        <sz val="10.5"/>
        <color rgb="FF0F1B3A"/>
        <rFont val="Yu Gothic"/>
        <family val="0"/>
        <charset val="1"/>
      </rPr>
      <t xml:space="preserve">FV</t>
    </r>
    <r>
      <rPr>
        <sz val="10.5"/>
        <color rgb="FF0F1B3A"/>
        <rFont val="Noto Sans CJK SC"/>
        <family val="2"/>
      </rPr>
      <t xml:space="preserve">を含む）</t>
    </r>
  </si>
  <si>
    <t xml:space="preserve">ライター／カメラマン</t>
  </si>
  <si>
    <r>
      <rPr>
        <b val="true"/>
        <sz val="10.5"/>
        <color rgb="FF0F1B3A"/>
        <rFont val="Noto Sans CJK SC"/>
        <family val="2"/>
      </rPr>
      <t xml:space="preserve">加工（</t>
    </r>
    <r>
      <rPr>
        <b val="true"/>
        <sz val="10.5"/>
        <color rgb="FF0F1B3A"/>
        <rFont val="Yu Gothic"/>
        <family val="0"/>
        <charset val="1"/>
      </rPr>
      <t xml:space="preserve">6</t>
    </r>
    <r>
      <rPr>
        <b val="true"/>
        <sz val="10.5"/>
        <color rgb="FF0F1B3A"/>
        <rFont val="Noto Sans CJK SC"/>
        <family val="2"/>
      </rPr>
      <t xml:space="preserve">年目）取材・撮影</t>
    </r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</si>
  <si>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年目）・新人</t>
    </r>
    <r>
      <rPr>
        <sz val="10.5"/>
        <color rgb="FF0F1B3A"/>
        <rFont val="Yu Gothic"/>
        <family val="0"/>
        <charset val="1"/>
      </rPr>
      <t xml:space="preserve">C</t>
    </r>
    <r>
      <rPr>
        <sz val="10.5"/>
        <color rgb="FF0F1B3A"/>
        <rFont val="Noto Sans CJK SC"/>
        <family val="2"/>
      </rPr>
      <t xml:space="preserve">（撮影のみ）</t>
    </r>
  </si>
  <si>
    <r>
      <rPr>
        <sz val="10.5"/>
        <color rgb="FF0F1B3A"/>
        <rFont val="Noto Sans CJK SC"/>
        <family val="2"/>
      </rPr>
      <t xml:space="preserve">取材</t>
    </r>
    <r>
      <rPr>
        <sz val="10.5"/>
        <color rgb="FF0F1B3A"/>
        <rFont val="Yu Gothic"/>
        <family val="0"/>
        <charset val="1"/>
      </rPr>
      <t xml:space="preserve">30</t>
    </r>
    <r>
      <rPr>
        <sz val="10.5"/>
        <color rgb="FF0F1B3A"/>
        <rFont val="Noto Sans CJK SC"/>
        <family val="2"/>
      </rPr>
      <t xml:space="preserve">分、撮影</t>
    </r>
    <r>
      <rPr>
        <sz val="10.5"/>
        <color rgb="FF0F1B3A"/>
        <rFont val="Yu Gothic"/>
        <family val="0"/>
        <charset val="1"/>
      </rPr>
      <t xml:space="preserve">15</t>
    </r>
    <r>
      <rPr>
        <sz val="10.5"/>
        <color rgb="FF0F1B3A"/>
        <rFont val="Noto Sans CJK SC"/>
        <family val="2"/>
      </rPr>
      <t xml:space="preserve">分</t>
    </r>
  </si>
  <si>
    <t xml:space="preserve">D1-08</t>
  </si>
  <si>
    <t xml:space="preserve">休憩・機材移動</t>
  </si>
  <si>
    <t xml:space="preserve">出演者交代</t>
  </si>
  <si>
    <t xml:space="preserve">働く一日（若手製造）</t>
  </si>
  <si>
    <t xml:space="preserve">段取り表は架空のもの</t>
  </si>
  <si>
    <t xml:space="preserve">育成・作業場</t>
  </si>
  <si>
    <r>
      <rPr>
        <sz val="10.5"/>
        <color rgb="FF0F1B3A"/>
        <rFont val="Yu Gothic"/>
        <family val="0"/>
        <charset val="1"/>
      </rPr>
      <t xml:space="preserve">22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39</t>
    </r>
  </si>
  <si>
    <t xml:space="preserve">指導の場面を自然に再現</t>
  </si>
  <si>
    <t xml:space="preserve">工場通路・作業台</t>
  </si>
  <si>
    <r>
      <rPr>
        <sz val="10.5"/>
        <color rgb="FF0F1B3A"/>
        <rFont val="Yu Gothic"/>
        <family val="0"/>
        <charset val="1"/>
      </rPr>
      <t xml:space="preserve">09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14</t>
    </r>
  </si>
  <si>
    <t xml:space="preserve">見学者役は私服＋保護具</t>
  </si>
  <si>
    <t xml:space="preserve">カメラマン／総務窓口</t>
  </si>
  <si>
    <t xml:space="preserve">新卒採用ページ（先輩の説明）</t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</si>
  <si>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人は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日目も参加</t>
    </r>
  </si>
  <si>
    <t xml:space="preserve">D1-13</t>
  </si>
  <si>
    <t xml:space="preserve">予備・不足カット</t>
  </si>
  <si>
    <t xml:space="preserve">必要な出演者のみ</t>
  </si>
  <si>
    <t xml:space="preserve">各所</t>
  </si>
  <si>
    <t xml:space="preserve">不足カット</t>
  </si>
  <si>
    <t xml:space="preserve">雨天の外観もここで</t>
  </si>
  <si>
    <t xml:space="preserve">刃物・切粉のアップ</t>
  </si>
  <si>
    <t xml:space="preserve">機械停止後に撮影</t>
  </si>
  <si>
    <t xml:space="preserve">D1-END</t>
  </si>
  <si>
    <t xml:space="preserve">不足確認・保存・撤収</t>
  </si>
  <si>
    <r>
      <rPr>
        <sz val="10"/>
        <color rgb="FF4A5468"/>
        <rFont val="Noto Sans CJK SC"/>
        <family val="2"/>
      </rPr>
      <t xml:space="preserve">保存</t>
    </r>
    <r>
      <rPr>
        <sz val="10"/>
        <color rgb="FF4A5468"/>
        <rFont val="Yu Gothic"/>
        <family val="0"/>
        <charset val="1"/>
      </rPr>
      <t xml:space="preserve">2</t>
    </r>
    <r>
      <rPr>
        <sz val="10"/>
        <color rgb="FF4A5468"/>
        <rFont val="Noto Sans CJK SC"/>
        <family val="2"/>
      </rPr>
      <t xml:space="preserve">系統、忘れ物確認</t>
    </r>
  </si>
  <si>
    <t xml:space="preserve">D2-00</t>
  </si>
  <si>
    <t xml:space="preserve">集合・準備・最終確認</t>
  </si>
  <si>
    <r>
      <rPr>
        <sz val="10"/>
        <color rgb="FF4A5468"/>
        <rFont val="Yu Gothic"/>
        <family val="0"/>
        <charset val="1"/>
      </rPr>
      <t xml:space="preserve">1</t>
    </r>
    <r>
      <rPr>
        <sz val="10"/>
        <color rgb="FF4A5468"/>
        <rFont val="Noto Sans CJK SC"/>
        <family val="2"/>
      </rPr>
      <t xml:space="preserve">日目の不足カットを共有</t>
    </r>
  </si>
  <si>
    <t xml:space="preserve">品質管理の工程</t>
  </si>
  <si>
    <r>
      <rPr>
        <sz val="10.5"/>
        <color rgb="FF0F1B3A"/>
        <rFont val="Yu Gothic"/>
        <family val="0"/>
        <charset val="1"/>
      </rPr>
      <t xml:space="preserve">06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26</t>
    </r>
  </si>
  <si>
    <t xml:space="preserve">測定器の表示を確認</t>
  </si>
  <si>
    <r>
      <rPr>
        <b val="true"/>
        <sz val="10.5"/>
        <color rgb="FF0F1B3A"/>
        <rFont val="Noto Sans CJK SC"/>
        <family val="2"/>
      </rPr>
      <t xml:space="preserve">品質管理（</t>
    </r>
    <r>
      <rPr>
        <b val="true"/>
        <sz val="10.5"/>
        <color rgb="FF0F1B3A"/>
        <rFont val="Yu Gothic"/>
        <family val="0"/>
        <charset val="1"/>
      </rPr>
      <t xml:space="preserve">4</t>
    </r>
    <r>
      <rPr>
        <b val="true"/>
        <sz val="10.5"/>
        <color rgb="FF0F1B3A"/>
        <rFont val="Noto Sans CJK SC"/>
        <family val="2"/>
      </rPr>
      <t xml:space="preserve">年目）取材・撮影</t>
    </r>
  </si>
  <si>
    <t xml:space="preserve">会議室・測定室</t>
  </si>
  <si>
    <r>
      <rPr>
        <sz val="10.5"/>
        <color rgb="FF0F1B3A"/>
        <rFont val="Yu Gothic"/>
        <family val="0"/>
        <charset val="1"/>
      </rPr>
      <t xml:space="preserve">31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32</t>
    </r>
  </si>
  <si>
    <r>
      <rPr>
        <sz val="10.5"/>
        <color rgb="FF0F1B3A"/>
        <rFont val="Yu Gothic"/>
        <family val="0"/>
        <charset val="1"/>
      </rPr>
      <t xml:space="preserve">18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19</t>
    </r>
  </si>
  <si>
    <r>
      <rPr>
        <sz val="10.5"/>
        <color rgb="FF0F1B3A"/>
        <rFont val="Yu Gothic"/>
        <family val="0"/>
        <charset val="1"/>
      </rPr>
      <t xml:space="preserve">CAD</t>
    </r>
    <r>
      <rPr>
        <sz val="10.5"/>
        <color rgb="FF0F1B3A"/>
        <rFont val="Noto Sans CJK SC"/>
        <family val="2"/>
      </rPr>
      <t xml:space="preserve">画面は架空データ</t>
    </r>
  </si>
  <si>
    <t xml:space="preserve">机上の書類を片づける</t>
  </si>
  <si>
    <t xml:space="preserve">D2-L</t>
  </si>
  <si>
    <t xml:space="preserve">午後の出演者到着確認</t>
  </si>
  <si>
    <t xml:space="preserve">社長取材・撮影</t>
  </si>
  <si>
    <t xml:space="preserve">本社オフィス・加工エリア</t>
  </si>
  <si>
    <r>
      <rPr>
        <sz val="10.5"/>
        <color rgb="FF0F1B3A"/>
        <rFont val="Yu Gothic"/>
        <family val="0"/>
        <charset val="1"/>
      </rPr>
      <t xml:space="preserve">15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16</t>
    </r>
  </si>
  <si>
    <r>
      <rPr>
        <sz val="10.5"/>
        <color rgb="FF0F1B3A"/>
        <rFont val="Noto Sans CJK SC"/>
        <family val="2"/>
      </rPr>
      <t xml:space="preserve">取材</t>
    </r>
    <r>
      <rPr>
        <sz val="10.5"/>
        <color rgb="FF0F1B3A"/>
        <rFont val="Yu Gothic"/>
        <family val="0"/>
        <charset val="1"/>
      </rPr>
      <t xml:space="preserve">25</t>
    </r>
    <r>
      <rPr>
        <sz val="10.5"/>
        <color rgb="FF0F1B3A"/>
        <rFont val="Noto Sans CJK SC"/>
        <family val="2"/>
      </rPr>
      <t xml:space="preserve">分、撮影</t>
    </r>
    <r>
      <rPr>
        <sz val="10.5"/>
        <color rgb="FF0F1B3A"/>
        <rFont val="Yu Gothic"/>
        <family val="0"/>
        <charset val="1"/>
      </rPr>
      <t xml:space="preserve">20</t>
    </r>
    <r>
      <rPr>
        <sz val="10.5"/>
        <color rgb="FF0F1B3A"/>
        <rFont val="Noto Sans CJK SC"/>
        <family val="2"/>
      </rPr>
      <t xml:space="preserve">分</t>
    </r>
  </si>
  <si>
    <t xml:space="preserve">D2-06</t>
  </si>
  <si>
    <t xml:space="preserve">座談会準備・参加者説明</t>
  </si>
  <si>
    <t xml:space="preserve">掲載範囲・進行を共有</t>
  </si>
  <si>
    <t xml:space="preserve">ライター／総務窓口</t>
  </si>
  <si>
    <r>
      <rPr>
        <b val="true"/>
        <sz val="10.5"/>
        <color rgb="FF0F1B3A"/>
        <rFont val="Noto Sans CJK SC"/>
        <family val="2"/>
      </rPr>
      <t xml:space="preserve">新入社員</t>
    </r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人の座談会</t>
    </r>
  </si>
  <si>
    <t xml:space="preserve">休憩室・工場入口</t>
  </si>
  <si>
    <r>
      <rPr>
        <sz val="10.5"/>
        <color rgb="FF0F1B3A"/>
        <rFont val="Yu Gothic"/>
        <family val="0"/>
        <charset val="1"/>
      </rPr>
      <t xml:space="preserve">34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36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38</t>
    </r>
  </si>
  <si>
    <r>
      <rPr>
        <sz val="10.5"/>
        <color rgb="FF0F1B3A"/>
        <rFont val="Noto Sans CJK SC"/>
        <family val="2"/>
      </rPr>
      <t xml:space="preserve">取材</t>
    </r>
    <r>
      <rPr>
        <sz val="10.5"/>
        <color rgb="FF0F1B3A"/>
        <rFont val="Yu Gothic"/>
        <family val="0"/>
        <charset val="1"/>
      </rPr>
      <t xml:space="preserve">60</t>
    </r>
    <r>
      <rPr>
        <sz val="10.5"/>
        <color rgb="FF0F1B3A"/>
        <rFont val="Noto Sans CJK SC"/>
        <family val="2"/>
      </rPr>
      <t xml:space="preserve">分、撮影</t>
    </r>
    <r>
      <rPr>
        <sz val="10.5"/>
        <color rgb="FF0F1B3A"/>
        <rFont val="Yu Gothic"/>
        <family val="0"/>
        <charset val="1"/>
      </rPr>
      <t xml:space="preserve">15</t>
    </r>
    <r>
      <rPr>
        <sz val="10.5"/>
        <color rgb="FF0F1B3A"/>
        <rFont val="Noto Sans CJK SC"/>
        <family val="2"/>
      </rPr>
      <t xml:space="preserve">分</t>
    </r>
  </si>
  <si>
    <t xml:space="preserve">D2-08</t>
  </si>
  <si>
    <t xml:space="preserve">必要出演者は当日正午までに相談</t>
  </si>
  <si>
    <t xml:space="preserve">D2-END</t>
  </si>
  <si>
    <t xml:space="preserve">撮影済み番号をチェック</t>
  </si>
  <si>
    <t xml:space="preserve">事前準備・出演者・取材テーマ</t>
  </si>
  <si>
    <t xml:space="preserve">青澄テクニカ 採用サイト制作計画（デモ）｜企業側の準備・出演者・取材テーマ</t>
  </si>
  <si>
    <t xml:space="preserve">会社・人物・日付はデモ設定。実案件では担当者名、稼働日、許諾を確認して更新。</t>
  </si>
  <si>
    <t xml:space="preserve">工場の撮影では、写してよい機械・図面・部品の範囲を事前に工場長と確認する。</t>
  </si>
  <si>
    <t xml:space="preserve">開始日と撮影日は制作工程表と連動。出演者の参加時間は撮影準備段階で再確認。</t>
  </si>
  <si>
    <t xml:space="preserve">確認・準備する内容</t>
  </si>
  <si>
    <t xml:space="preserve">実行担当</t>
  </si>
  <si>
    <t xml:space="preserve">確認相手</t>
  </si>
  <si>
    <t xml:space="preserve">締切</t>
  </si>
  <si>
    <t xml:space="preserve">対応内容</t>
  </si>
  <si>
    <t xml:space="preserve">P01</t>
  </si>
  <si>
    <t xml:space="preserve">採用条件</t>
  </si>
  <si>
    <t xml:space="preserve">職種・初任給（学歴別）・寮・休日</t>
  </si>
  <si>
    <t xml:space="preserve">新卒・中途の条件の根拠資料を提供</t>
  </si>
  <si>
    <t xml:space="preserve">P02</t>
  </si>
  <si>
    <t xml:space="preserve">参加者・所属・入社年・参加可能時間</t>
  </si>
  <si>
    <t xml:space="preserve">下部の出演者設定を確認</t>
  </si>
  <si>
    <t xml:space="preserve">P03</t>
  </si>
  <si>
    <t xml:space="preserve">掲載許諾</t>
  </si>
  <si>
    <t xml:space="preserve">写真・発言・経歴の使用範囲と許諾</t>
  </si>
  <si>
    <t xml:space="preserve">出演者・社長</t>
  </si>
  <si>
    <t xml:space="preserve">写真・サイト・営業見本の範囲を説明</t>
  </si>
  <si>
    <t xml:space="preserve">P04</t>
  </si>
  <si>
    <t xml:space="preserve">撮影エリア</t>
  </si>
  <si>
    <t xml:space="preserve">撮影できる機械・エリアと稼働時間</t>
  </si>
  <si>
    <t xml:space="preserve">稼働を止めずに撮れる時間帯を調整</t>
  </si>
  <si>
    <t xml:space="preserve">P05</t>
  </si>
  <si>
    <t xml:space="preserve">質問案</t>
  </si>
  <si>
    <t xml:space="preserve">個別取材・座談会の質問を共有</t>
  </si>
  <si>
    <t xml:space="preserve">採用担当・出演者</t>
  </si>
  <si>
    <t xml:space="preserve">質問テーマは下部に掲載</t>
  </si>
  <si>
    <t xml:space="preserve">P06</t>
  </si>
  <si>
    <t xml:space="preserve">図面・部品</t>
  </si>
  <si>
    <t xml:space="preserve">社外公開できる図面・部品の用意</t>
  </si>
  <si>
    <t xml:space="preserve">顧客名・品番が写らないものを選ぶ</t>
  </si>
  <si>
    <t xml:space="preserve">P07</t>
  </si>
  <si>
    <t xml:space="preserve">服装</t>
  </si>
  <si>
    <t xml:space="preserve">作業着・帽子・保護具・名札</t>
  </si>
  <si>
    <t xml:space="preserve">個人名の名札は撮影用へ変更</t>
  </si>
  <si>
    <t xml:space="preserve">P08</t>
  </si>
  <si>
    <t xml:space="preserve">安全</t>
  </si>
  <si>
    <t xml:space="preserve">保護具の着用、立入範囲、機械の操作</t>
  </si>
  <si>
    <t xml:space="preserve">撮影のための無理な操作はしない</t>
  </si>
  <si>
    <t xml:space="preserve">P09</t>
  </si>
  <si>
    <t xml:space="preserve">香盤</t>
  </si>
  <si>
    <t xml:space="preserve">拘束時間・場所・当日窓口を共有</t>
  </si>
  <si>
    <t xml:space="preserve">総務窓口・出演者</t>
  </si>
  <si>
    <t xml:space="preserve">参加時間の最終回答を確認</t>
  </si>
  <si>
    <t xml:space="preserve">P10</t>
  </si>
  <si>
    <t xml:space="preserve">予備対応</t>
  </si>
  <si>
    <t xml:space="preserve">雨天・欠席・機械トラブル時の代替</t>
  </si>
  <si>
    <t xml:space="preserve">外観は予備枠／欠席者は別日相談</t>
  </si>
  <si>
    <t xml:space="preserve">P11</t>
  </si>
  <si>
    <t xml:space="preserve">経歴・発言・条件・写真の確認</t>
  </si>
  <si>
    <t xml:space="preserve">図面・部品の写り込みも確認</t>
  </si>
  <si>
    <t xml:space="preserve">P12</t>
  </si>
  <si>
    <t xml:space="preserve">公開承認</t>
  </si>
  <si>
    <t xml:space="preserve">許諾・条件・表記の最終確認</t>
  </si>
  <si>
    <t xml:space="preserve">全確認後に公開承認</t>
  </si>
  <si>
    <t xml:space="preserve">出演者設定と参加時間（撮影・取材に必要な時間帯）</t>
  </si>
  <si>
    <t xml:space="preserve">呼称</t>
  </si>
  <si>
    <t xml:space="preserve">人物設定</t>
  </si>
  <si>
    <t xml:space="preserve">勤務先</t>
  </si>
  <si>
    <t xml:space="preserve">参加時間帯</t>
  </si>
  <si>
    <t xml:space="preserve">出演内容</t>
  </si>
  <si>
    <t xml:space="preserve">制服・衣装</t>
  </si>
  <si>
    <t xml:space="preserve">取材テーマ・確認</t>
  </si>
  <si>
    <r>
      <rPr>
        <b val="true"/>
        <sz val="10.5"/>
        <color rgb="FF0F1B3A"/>
        <rFont val="Noto Sans CJK SC"/>
        <family val="2"/>
      </rPr>
      <t xml:space="preserve">加工（</t>
    </r>
    <r>
      <rPr>
        <b val="true"/>
        <sz val="10.5"/>
        <color rgb="FF0F1B3A"/>
        <rFont val="Yu Gothic"/>
        <family val="0"/>
        <charset val="1"/>
      </rPr>
      <t xml:space="preserve">6</t>
    </r>
    <r>
      <rPr>
        <b val="true"/>
        <sz val="10.5"/>
        <color rgb="FF0F1B3A"/>
        <rFont val="Noto Sans CJK SC"/>
        <family val="2"/>
      </rPr>
      <t xml:space="preserve">年目）</t>
    </r>
  </si>
  <si>
    <r>
      <rPr>
        <sz val="10.5"/>
        <color rgb="FF0F1B3A"/>
        <rFont val="Noto Sans CJK SC"/>
        <family val="2"/>
      </rPr>
      <t xml:space="preserve">加工／</t>
    </r>
    <r>
      <rPr>
        <sz val="10.5"/>
        <color rgb="FF0F1B3A"/>
        <rFont val="Yu Gothic"/>
        <family val="0"/>
        <charset val="1"/>
      </rPr>
      <t xml:space="preserve">2021</t>
    </r>
    <r>
      <rPr>
        <sz val="10.5"/>
        <color rgb="FF0F1B3A"/>
        <rFont val="Noto Sans CJK SC"/>
        <family val="2"/>
      </rPr>
      <t xml:space="preserve">年新卒入社／工業高校卒</t>
    </r>
  </si>
  <si>
    <t xml:space="preserve">本社工場</t>
  </si>
  <si>
    <r>
      <rPr>
        <sz val="10.5"/>
        <color rgb="FF0F1B3A"/>
        <rFont val="Yu Gothic"/>
        <family val="0"/>
        <charset val="1"/>
      </rPr>
      <t xml:space="preserve">D1 10:00–12:00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13:45–14:30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D2 13:15–14:00</t>
    </r>
  </si>
  <si>
    <t xml:space="preserve">インタビュー③／加工・相談</t>
  </si>
  <si>
    <t xml:space="preserve">作業着・帽子</t>
  </si>
  <si>
    <t xml:space="preserve">後輩に教えるようになって／段取りの考え方</t>
  </si>
  <si>
    <r>
      <rPr>
        <b val="true"/>
        <sz val="10.5"/>
        <color rgb="FF0F1B3A"/>
        <rFont val="Noto Sans CJK SC"/>
        <family val="2"/>
      </rPr>
      <t xml:space="preserve">製造（</t>
    </r>
    <r>
      <rPr>
        <b val="true"/>
        <sz val="10.5"/>
        <color rgb="FF0F1B3A"/>
        <rFont val="Yu Gothic"/>
        <family val="0"/>
        <charset val="1"/>
      </rPr>
      <t xml:space="preserve">2</t>
    </r>
    <r>
      <rPr>
        <b val="true"/>
        <sz val="10.5"/>
        <color rgb="FF0F1B3A"/>
        <rFont val="Noto Sans CJK SC"/>
        <family val="2"/>
      </rPr>
      <t xml:space="preserve">年目）</t>
    </r>
  </si>
  <si>
    <r>
      <rPr>
        <sz val="10.5"/>
        <color rgb="FF0F1B3A"/>
        <rFont val="Noto Sans CJK SC"/>
        <family val="2"/>
      </rPr>
      <t xml:space="preserve">製造／</t>
    </r>
    <r>
      <rPr>
        <sz val="10.5"/>
        <color rgb="FF0F1B3A"/>
        <rFont val="Yu Gothic"/>
        <family val="0"/>
        <charset val="1"/>
      </rPr>
      <t xml:space="preserve">2025</t>
    </r>
    <r>
      <rPr>
        <sz val="10.5"/>
        <color rgb="FF0F1B3A"/>
        <rFont val="Noto Sans CJK SC"/>
        <family val="2"/>
      </rPr>
      <t xml:space="preserve">年中途入社／前職は飲食店</t>
    </r>
  </si>
  <si>
    <r>
      <rPr>
        <sz val="10.5"/>
        <color rgb="FF0F1B3A"/>
        <rFont val="Yu Gothic"/>
        <family val="0"/>
        <charset val="1"/>
      </rPr>
      <t xml:space="preserve">D1 10:00–11:15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13:00–13:45</t>
    </r>
  </si>
  <si>
    <t xml:space="preserve">インタビュー①／加工・仕上げ</t>
  </si>
  <si>
    <t xml:space="preserve">転職の理由／最初に困ったこと</t>
  </si>
  <si>
    <r>
      <rPr>
        <b val="true"/>
        <sz val="10.5"/>
        <color rgb="FF0F1B3A"/>
        <rFont val="Noto Sans CJK SC"/>
        <family val="2"/>
      </rPr>
      <t xml:space="preserve">品質管理（</t>
    </r>
    <r>
      <rPr>
        <b val="true"/>
        <sz val="10.5"/>
        <color rgb="FF0F1B3A"/>
        <rFont val="Yu Gothic"/>
        <family val="0"/>
        <charset val="1"/>
      </rPr>
      <t xml:space="preserve">4</t>
    </r>
    <r>
      <rPr>
        <b val="true"/>
        <sz val="10.5"/>
        <color rgb="FF0F1B3A"/>
        <rFont val="Noto Sans CJK SC"/>
        <family val="2"/>
      </rPr>
      <t xml:space="preserve">年目）</t>
    </r>
  </si>
  <si>
    <r>
      <rPr>
        <sz val="10.5"/>
        <color rgb="FF0F1B3A"/>
        <rFont val="Noto Sans CJK SC"/>
        <family val="2"/>
      </rPr>
      <t xml:space="preserve">品質管理／</t>
    </r>
    <r>
      <rPr>
        <sz val="10.5"/>
        <color rgb="FF0F1B3A"/>
        <rFont val="Yu Gothic"/>
        <family val="0"/>
        <charset val="1"/>
      </rPr>
      <t xml:space="preserve">2023</t>
    </r>
    <r>
      <rPr>
        <sz val="10.5"/>
        <color rgb="FF0F1B3A"/>
        <rFont val="Noto Sans CJK SC"/>
        <family val="2"/>
      </rPr>
      <t xml:space="preserve">年新卒入社／大学 文学部卒</t>
    </r>
  </si>
  <si>
    <t xml:space="preserve">D2 9:30–11:00</t>
  </si>
  <si>
    <t xml:space="preserve">インタビュー②／測定</t>
  </si>
  <si>
    <t xml:space="preserve">文系から測定の仕事へ／違いを見つけたあと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</si>
  <si>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A</t>
    </r>
  </si>
  <si>
    <r>
      <rPr>
        <sz val="10.5"/>
        <color rgb="FF0F1B3A"/>
        <rFont val="Noto Sans CJK SC"/>
        <family val="2"/>
      </rPr>
      <t xml:space="preserve">製造／入社</t>
    </r>
    <r>
      <rPr>
        <sz val="10.5"/>
        <color rgb="FF0F1B3A"/>
        <rFont val="Yu Gothic"/>
        <family val="0"/>
        <charset val="1"/>
      </rPr>
      <t xml:space="preserve">1</t>
    </r>
    <r>
      <rPr>
        <sz val="10.5"/>
        <color rgb="FF0F1B3A"/>
        <rFont val="Noto Sans CJK SC"/>
        <family val="2"/>
      </rPr>
      <t xml:space="preserve">年目・中途／前職はアパレル販売</t>
    </r>
  </si>
  <si>
    <r>
      <rPr>
        <sz val="10.5"/>
        <color rgb="FF0F1B3A"/>
        <rFont val="Yu Gothic"/>
        <family val="0"/>
        <charset val="1"/>
      </rPr>
      <t xml:space="preserve">D1 16:45–17:15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D2 14:00–15:30</t>
    </r>
  </si>
  <si>
    <r>
      <rPr>
        <sz val="10.5"/>
        <color rgb="FF0F1B3A"/>
        <rFont val="Noto Sans CJK SC"/>
        <family val="2"/>
      </rPr>
      <t xml:space="preserve">座談会／新卒</t>
    </r>
    <r>
      <rPr>
        <sz val="10.5"/>
        <color rgb="FF0F1B3A"/>
        <rFont val="Yu Gothic"/>
        <family val="0"/>
        <charset val="1"/>
      </rPr>
      <t xml:space="preserve">FV</t>
    </r>
  </si>
  <si>
    <t xml:space="preserve">初日の不安／わからないを言えたか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</si>
  <si>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B</t>
    </r>
  </si>
  <si>
    <r>
      <rPr>
        <sz val="10.5"/>
        <color rgb="FF0F1B3A"/>
        <rFont val="Noto Sans CJK SC"/>
        <family val="2"/>
      </rPr>
      <t xml:space="preserve">品質管理／新卒</t>
    </r>
    <r>
      <rPr>
        <sz val="10.5"/>
        <color rgb="FF0F1B3A"/>
        <rFont val="Yu Gothic"/>
        <family val="0"/>
        <charset val="1"/>
      </rPr>
      <t xml:space="preserve">1</t>
    </r>
    <r>
      <rPr>
        <sz val="10.5"/>
        <color rgb="FF0F1B3A"/>
        <rFont val="Noto Sans CJK SC"/>
        <family val="2"/>
      </rPr>
      <t xml:space="preserve">年目／大学 経済学部卒</t>
    </r>
  </si>
  <si>
    <r>
      <rPr>
        <sz val="10.5"/>
        <color rgb="FF0F1B3A"/>
        <rFont val="Yu Gothic"/>
        <family val="0"/>
        <charset val="1"/>
      </rPr>
      <t xml:space="preserve">D1 15:30–17:15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D2 14:00–15:30</t>
    </r>
  </si>
  <si>
    <r>
      <rPr>
        <sz val="10.5"/>
        <color rgb="FF0F1B3A"/>
        <rFont val="Noto Sans CJK SC"/>
        <family val="2"/>
      </rPr>
      <t xml:space="preserve">座談会／育成・新卒</t>
    </r>
    <r>
      <rPr>
        <sz val="10.5"/>
        <color rgb="FF0F1B3A"/>
        <rFont val="Yu Gothic"/>
        <family val="0"/>
        <charset val="1"/>
      </rPr>
      <t xml:space="preserve">FV</t>
    </r>
  </si>
  <si>
    <t xml:space="preserve">文系で入社して／質問するまで</t>
  </si>
  <si>
    <r>
      <rPr>
        <b val="true"/>
        <sz val="10.5"/>
        <color rgb="FF0F1B3A"/>
        <rFont val="Noto Sans CJK SC"/>
        <family val="2"/>
      </rPr>
      <t xml:space="preserve">新人</t>
    </r>
    <r>
      <rPr>
        <b val="true"/>
        <sz val="10.5"/>
        <color rgb="FF0F1B3A"/>
        <rFont val="Yu Gothic"/>
        <family val="0"/>
        <charset val="1"/>
      </rPr>
      <t xml:space="preserve">C</t>
    </r>
  </si>
  <si>
    <r>
      <rPr>
        <sz val="10.5"/>
        <color rgb="FF0F1B3A"/>
        <rFont val="Noto Sans CJK SC"/>
        <family val="2"/>
      </rPr>
      <t xml:space="preserve">加工／新卒</t>
    </r>
    <r>
      <rPr>
        <sz val="10.5"/>
        <color rgb="FF0F1B3A"/>
        <rFont val="Yu Gothic"/>
        <family val="0"/>
        <charset val="1"/>
      </rPr>
      <t xml:space="preserve">1</t>
    </r>
    <r>
      <rPr>
        <sz val="10.5"/>
        <color rgb="FF0F1B3A"/>
        <rFont val="Noto Sans CJK SC"/>
        <family val="2"/>
      </rPr>
      <t xml:space="preserve">年目／大学 経営学部卒</t>
    </r>
  </si>
  <si>
    <r>
      <rPr>
        <sz val="10.5"/>
        <color rgb="FF0F1B3A"/>
        <rFont val="Yu Gothic"/>
        <family val="0"/>
        <charset val="1"/>
      </rPr>
      <t xml:space="preserve">D1 13:45–14:30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16:45–17:15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D2 14:00–15:30</t>
    </r>
  </si>
  <si>
    <r>
      <rPr>
        <sz val="10.5"/>
        <color rgb="FF0F1B3A"/>
        <rFont val="Noto Sans CJK SC"/>
        <family val="2"/>
      </rPr>
      <t xml:space="preserve">座談会／加工・新卒</t>
    </r>
    <r>
      <rPr>
        <sz val="10.5"/>
        <color rgb="FF0F1B3A"/>
        <rFont val="Yu Gothic"/>
        <family val="0"/>
        <charset val="1"/>
      </rPr>
      <t xml:space="preserve">FV</t>
    </r>
  </si>
  <si>
    <t xml:space="preserve">図面を読めるまで／仕事じゃない話</t>
  </si>
  <si>
    <t xml:space="preserve">代表取締役</t>
  </si>
  <si>
    <t xml:space="preserve">本社</t>
  </si>
  <si>
    <t xml:space="preserve">D2 13:15–14:00</t>
  </si>
  <si>
    <r>
      <rPr>
        <sz val="10.5"/>
        <color rgb="FF0F1B3A"/>
        <rFont val="Noto Sans CJK SC"/>
        <family val="2"/>
      </rPr>
      <t xml:space="preserve">社長取材／</t>
    </r>
    <r>
      <rPr>
        <sz val="10.5"/>
        <color rgb="FF0F1B3A"/>
        <rFont val="Yu Gothic"/>
        <family val="0"/>
        <charset val="1"/>
      </rPr>
      <t xml:space="preserve">15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16</t>
    </r>
  </si>
  <si>
    <t xml:space="preserve">作業着の上着</t>
  </si>
  <si>
    <t xml:space="preserve">つくる仕事の面白さ／新人に伝えたいこと</t>
  </si>
  <si>
    <r>
      <rPr>
        <sz val="10.5"/>
        <color rgb="FF0F1B3A"/>
        <rFont val="Noto Sans CJK SC"/>
        <family val="2"/>
      </rPr>
      <t xml:space="preserve">設計補助／入社</t>
    </r>
    <r>
      <rPr>
        <sz val="10.5"/>
        <color rgb="FF0F1B3A"/>
        <rFont val="Yu Gothic"/>
        <family val="0"/>
        <charset val="1"/>
      </rPr>
      <t xml:space="preserve">8</t>
    </r>
    <r>
      <rPr>
        <sz val="10.5"/>
        <color rgb="FF0F1B3A"/>
        <rFont val="Noto Sans CJK SC"/>
        <family val="2"/>
      </rPr>
      <t xml:space="preserve">年目</t>
    </r>
  </si>
  <si>
    <t xml:space="preserve">D2 11:00–11:45</t>
  </si>
  <si>
    <t xml:space="preserve">設計補助の紹介</t>
  </si>
  <si>
    <t xml:space="preserve">図面とデータで現場を支える</t>
  </si>
  <si>
    <r>
      <rPr>
        <sz val="10.5"/>
        <color rgb="FF0F1B3A"/>
        <rFont val="Noto Sans CJK SC"/>
        <family val="2"/>
      </rPr>
      <t xml:space="preserve">製造／入社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年目</t>
    </r>
  </si>
  <si>
    <r>
      <rPr>
        <sz val="10.5"/>
        <color rgb="FF0F1B3A"/>
        <rFont val="Yu Gothic"/>
        <family val="0"/>
        <charset val="1"/>
      </rPr>
      <t xml:space="preserve">D1 11:15–12:00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14:45–15:30</t>
    </r>
    <r>
      <rPr>
        <sz val="10.5"/>
        <color rgb="FF0F1B3A"/>
        <rFont val="Noto Sans CJK SC"/>
        <family val="2"/>
      </rPr>
      <t xml:space="preserve">、</t>
    </r>
    <r>
      <rPr>
        <sz val="10.5"/>
        <color rgb="FF0F1B3A"/>
        <rFont val="Yu Gothic"/>
        <family val="0"/>
        <charset val="1"/>
      </rPr>
      <t xml:space="preserve">16:15–16:45</t>
    </r>
  </si>
  <si>
    <t xml:space="preserve">働く一日・見学案内</t>
  </si>
  <si>
    <t xml:space="preserve">一日の段取り</t>
  </si>
  <si>
    <r>
      <rPr>
        <sz val="10.5"/>
        <color rgb="FF0F1B3A"/>
        <rFont val="Noto Sans CJK SC"/>
        <family val="2"/>
      </rPr>
      <t xml:space="preserve">製造（仕上げ）／入社</t>
    </r>
    <r>
      <rPr>
        <sz val="10.5"/>
        <color rgb="FF0F1B3A"/>
        <rFont val="Yu Gothic"/>
        <family val="0"/>
        <charset val="1"/>
      </rPr>
      <t xml:space="preserve">5</t>
    </r>
    <r>
      <rPr>
        <sz val="10.5"/>
        <color rgb="FF0F1B3A"/>
        <rFont val="Noto Sans CJK SC"/>
        <family val="2"/>
      </rPr>
      <t xml:space="preserve">年目</t>
    </r>
  </si>
  <si>
    <t xml:space="preserve">D1 10:45–11:15</t>
  </si>
  <si>
    <t xml:space="preserve">仕上げの紹介</t>
  </si>
  <si>
    <t xml:space="preserve">作業着・手袋</t>
  </si>
  <si>
    <t xml:space="preserve">仕上がりの見方</t>
  </si>
  <si>
    <t xml:space="preserve">先輩社員</t>
  </si>
  <si>
    <r>
      <rPr>
        <sz val="10.5"/>
        <color rgb="FF0F1B3A"/>
        <rFont val="Noto Sans CJK SC"/>
        <family val="2"/>
      </rPr>
      <t xml:space="preserve">製造／入社</t>
    </r>
    <r>
      <rPr>
        <sz val="10.5"/>
        <color rgb="FF0F1B3A"/>
        <rFont val="Yu Gothic"/>
        <family val="0"/>
        <charset val="1"/>
      </rPr>
      <t xml:space="preserve">12</t>
    </r>
    <r>
      <rPr>
        <sz val="10.5"/>
        <color rgb="FF0F1B3A"/>
        <rFont val="Noto Sans CJK SC"/>
        <family val="2"/>
      </rPr>
      <t xml:space="preserve">年目・教育担当</t>
    </r>
  </si>
  <si>
    <t xml:space="preserve">D1 15:30–17:15</t>
  </si>
  <si>
    <r>
      <rPr>
        <sz val="10.5"/>
        <color rgb="FF0F1B3A"/>
        <rFont val="Noto Sans CJK SC"/>
        <family val="2"/>
      </rPr>
      <t xml:space="preserve">育成・新卒</t>
    </r>
    <r>
      <rPr>
        <sz val="10.5"/>
        <color rgb="FF0F1B3A"/>
        <rFont val="Yu Gothic"/>
        <family val="0"/>
        <charset val="1"/>
      </rPr>
      <t xml:space="preserve">FV</t>
    </r>
  </si>
  <si>
    <t xml:space="preserve">新人に教えるときに気をつけること</t>
  </si>
  <si>
    <t xml:space="preserve">見学者役</t>
  </si>
  <si>
    <t xml:space="preserve">撮影用の成人モデル（学生役）</t>
  </si>
  <si>
    <t xml:space="preserve">D1 16:15–16:45</t>
  </si>
  <si>
    <t xml:space="preserve">私服＋保護具</t>
  </si>
  <si>
    <t xml:space="preserve">見学の雰囲気</t>
  </si>
  <si>
    <t xml:space="preserve">取材質問案（回答・原稿は別途制作）</t>
  </si>
  <si>
    <t xml:space="preserve">対象</t>
  </si>
  <si>
    <r>
      <rPr>
        <b val="true"/>
        <sz val="10"/>
        <color rgb="FFFFFFFF"/>
        <rFont val="Noto Sans CJK SC"/>
        <family val="2"/>
      </rPr>
      <t xml:space="preserve">質問</t>
    </r>
    <r>
      <rPr>
        <b val="true"/>
        <sz val="10"/>
        <color rgb="FFFFFFFF"/>
        <rFont val="Yu Gothic"/>
        <family val="0"/>
        <charset val="1"/>
      </rPr>
      <t xml:space="preserve">No.</t>
    </r>
  </si>
  <si>
    <t xml:space="preserve">質問</t>
  </si>
  <si>
    <t xml:space="preserve">仕事を変えようと思ったきっかけは？</t>
  </si>
  <si>
    <t xml:space="preserve">工場の仕事を、入社前はどう想像していましたか？</t>
  </si>
  <si>
    <t xml:space="preserve">入社して最初に困ったことと、どう乗り越えたかを教えてください。</t>
  </si>
  <si>
    <t xml:space="preserve">前の仕事の経験が活きた場面は？</t>
  </si>
  <si>
    <t xml:space="preserve">仕事を選ぶ人に伝えたいことは？</t>
  </si>
  <si>
    <t xml:space="preserve">就活中、品質管理という仕事をどこで知りましたか？</t>
  </si>
  <si>
    <t xml:space="preserve">文系で入社して、最初に戸惑ったことは？</t>
  </si>
  <si>
    <t xml:space="preserve">測定を覚えるまでに、先輩とどんな練習をしましたか？</t>
  </si>
  <si>
    <t xml:space="preserve">違いを見つけたとき、どう伝えていますか？</t>
  </si>
  <si>
    <r>
      <rPr>
        <sz val="10.5"/>
        <color rgb="FF0F1B3A"/>
        <rFont val="Yu Gothic"/>
        <family val="0"/>
        <charset val="1"/>
      </rPr>
      <t xml:space="preserve">4</t>
    </r>
    <r>
      <rPr>
        <sz val="10.5"/>
        <color rgb="FF0F1B3A"/>
        <rFont val="Noto Sans CJK SC"/>
        <family val="2"/>
      </rPr>
      <t xml:space="preserve">年目の今、変わったことは？</t>
    </r>
  </si>
  <si>
    <t xml:space="preserve">加工の仕事を知ったきっかけは？</t>
  </si>
  <si>
    <t xml:space="preserve">自分で考えるようになったきっかけは？</t>
  </si>
  <si>
    <t xml:space="preserve">うまくいかなかった作業と、そのあと変えたことは？</t>
  </si>
  <si>
    <t xml:space="preserve">後輩に教えるとき、大切にしていることは？</t>
  </si>
  <si>
    <t xml:space="preserve">これから続けたいことは？</t>
  </si>
  <si>
    <t xml:space="preserve">座談会</t>
  </si>
  <si>
    <t xml:space="preserve">初日、いちばん緊張したのは何？</t>
  </si>
  <si>
    <t xml:space="preserve">「わかりません」って、すぐ言えた？</t>
  </si>
  <si>
    <t xml:space="preserve">失敗したことと、そのあとは？</t>
  </si>
  <si>
    <t xml:space="preserve">入社して、毎日が少し変わったことは？</t>
  </si>
  <si>
    <t xml:space="preserve">青澄テクニカらしいと思う場面は？</t>
  </si>
  <si>
    <t xml:space="preserve">仕事じゃない話、休憩中は何してる？</t>
  </si>
  <si>
    <t xml:space="preserve">この仕事に向いているのはどんな人？</t>
  </si>
  <si>
    <t xml:space="preserve">これから入る人に伝えたいことは？</t>
  </si>
  <si>
    <t xml:space="preserve">小さな部品をつくる仕事の面白さは？</t>
  </si>
  <si>
    <t xml:space="preserve">新人を育てるうえで、大切にしていることは？</t>
  </si>
  <si>
    <t xml:space="preserve">入社を考えている学生に、先に伝えておきたいことは？</t>
  </si>
  <si>
    <r>
      <rPr>
        <b val="true"/>
        <sz val="18"/>
        <color rgb="FF0F1B3A"/>
        <rFont val="Yu Gothic"/>
        <family val="0"/>
        <charset val="1"/>
      </rPr>
      <t xml:space="preserve">19</t>
    </r>
    <r>
      <rPr>
        <b val="true"/>
        <sz val="18"/>
        <color rgb="FF0F1B3A"/>
        <rFont val="Noto Sans CJK SC"/>
        <family val="2"/>
      </rPr>
      <t xml:space="preserve">ページ サイト構成と写真の対応</t>
    </r>
  </si>
  <si>
    <r>
      <rPr>
        <sz val="9.5"/>
        <color rgb="FF4A5468"/>
        <rFont val="Noto Sans CJK SC"/>
        <family val="2"/>
      </rPr>
      <t xml:space="preserve">青澄テクニカ 採用サイト制作計画（デモ）｜</t>
    </r>
    <r>
      <rPr>
        <sz val="9.5"/>
        <color rgb="FF4A5468"/>
        <rFont val="Yu Gothic"/>
        <family val="0"/>
        <charset val="1"/>
      </rPr>
      <t xml:space="preserve">19</t>
    </r>
    <r>
      <rPr>
        <sz val="9.5"/>
        <color rgb="FF4A5468"/>
        <rFont val="Noto Sans CJK SC"/>
        <family val="2"/>
      </rPr>
      <t xml:space="preserve">ページの構成と写真の対応</t>
    </r>
  </si>
  <si>
    <t xml:space="preserve">青澄テクニカ株式会社：静岡県の精密部品メーカー。本社工場で製造・品質管理・設計補助を募集。すべて架空の設定。</t>
  </si>
  <si>
    <t xml:space="preserve">「青焼き（図面）」がコンセプト。紺・青・製図用紙の白に、検図の赤を少しだけ。トップは「この部品、何になると思う？」の謎解きから始める。</t>
  </si>
  <si>
    <r>
      <rPr>
        <sz val="10"/>
        <color rgb="FF4A5468"/>
        <rFont val="Noto Sans CJK SC"/>
        <family val="2"/>
      </rPr>
      <t xml:space="preserve">全</t>
    </r>
    <r>
      <rPr>
        <sz val="10"/>
        <color rgb="FF4A5468"/>
        <rFont val="Yu Gothic"/>
        <family val="0"/>
        <charset val="1"/>
      </rPr>
      <t xml:space="preserve">19</t>
    </r>
    <r>
      <rPr>
        <sz val="10"/>
        <color rgb="FF4A5468"/>
        <rFont val="Noto Sans CJK SC"/>
        <family val="2"/>
      </rPr>
      <t xml:space="preserve">ページの原稿・</t>
    </r>
    <r>
      <rPr>
        <sz val="10"/>
        <color rgb="FF4A5468"/>
        <rFont val="Yu Gothic"/>
        <family val="0"/>
        <charset val="1"/>
      </rPr>
      <t xml:space="preserve">AI</t>
    </r>
    <r>
      <rPr>
        <sz val="10"/>
        <color rgb="FF4A5468"/>
        <rFont val="Noto Sans CJK SC"/>
        <family val="2"/>
      </rPr>
      <t xml:space="preserve">写真・サイト初版を制作。写真カット見本と掲載先を照らし合わせて確認できます。</t>
    </r>
  </si>
  <si>
    <r>
      <rPr>
        <b val="true"/>
        <sz val="10"/>
        <color rgb="FFFFFFFF"/>
        <rFont val="Noto Sans CJK SC"/>
        <family val="2"/>
      </rPr>
      <t xml:space="preserve">ページ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</si>
  <si>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ページ</t>
  </si>
  <si>
    <t xml:space="preserve">見出し</t>
  </si>
  <si>
    <t xml:space="preserve">掲載内容</t>
  </si>
  <si>
    <t xml:space="preserve">記事・表示の条件</t>
  </si>
  <si>
    <t xml:space="preserve">次の導線</t>
  </si>
  <si>
    <t xml:space="preserve">トップ</t>
  </si>
  <si>
    <t xml:space="preserve">この部品、何になると思う？</t>
  </si>
  <si>
    <t xml:space="preserve">部品の正体／工程／人／座談会／一日／数字／新卒／環境</t>
  </si>
  <si>
    <r>
      <rPr>
        <sz val="10.5"/>
        <color rgb="FF0F1B3A"/>
        <rFont val="Yu Gothic"/>
        <family val="0"/>
        <charset val="1"/>
      </rPr>
      <t xml:space="preserve">01–09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35</t>
    </r>
  </si>
  <si>
    <t xml:space="preserve">部品の謎から仕事・人へ</t>
  </si>
  <si>
    <t xml:space="preserve">部品の正体・新卒採用へ</t>
  </si>
  <si>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分でわかる</t>
    </r>
  </si>
  <si>
    <r>
      <rPr>
        <b val="true"/>
        <sz val="10.5"/>
        <color rgb="FF0F1B3A"/>
        <rFont val="Noto Sans CJK SC"/>
        <family val="2"/>
      </rPr>
      <t xml:space="preserve">会社の輪郭を、</t>
    </r>
    <r>
      <rPr>
        <b val="true"/>
        <sz val="10.5"/>
        <color rgb="FF0F1B3A"/>
        <rFont val="Yu Gothic"/>
        <family val="0"/>
        <charset val="1"/>
      </rPr>
      <t xml:space="preserve">3</t>
    </r>
    <r>
      <rPr>
        <b val="true"/>
        <sz val="10.5"/>
        <color rgb="FF0F1B3A"/>
        <rFont val="Noto Sans CJK SC"/>
        <family val="2"/>
      </rPr>
      <t xml:space="preserve">分で。</t>
    </r>
  </si>
  <si>
    <t xml:space="preserve">何をつくる会社か／仕事のつながり／大切にしていること</t>
  </si>
  <si>
    <r>
      <rPr>
        <sz val="10.5"/>
        <color rgb="FF0F1B3A"/>
        <rFont val="Yu Gothic"/>
        <family val="0"/>
        <charset val="1"/>
      </rPr>
      <t xml:space="preserve">02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03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13</t>
    </r>
  </si>
  <si>
    <t xml:space="preserve">部品の使われる先を具体的に</t>
  </si>
  <si>
    <t xml:space="preserve">仕事・会社情報へ</t>
  </si>
  <si>
    <t xml:space="preserve">つくる場所。働く場所。</t>
  </si>
  <si>
    <t xml:space="preserve">会社概要／拠点／沿革</t>
  </si>
  <si>
    <t xml:space="preserve">10–12</t>
  </si>
  <si>
    <t xml:space="preserve">実在の住所や地図は使わない</t>
  </si>
  <si>
    <t xml:space="preserve">工場見学へ</t>
  </si>
  <si>
    <t xml:space="preserve">「なぜ？」と聞ける人が、ものづくりを変えていく。</t>
  </si>
  <si>
    <t xml:space="preserve">仕事の面白さ／育成／学生へのメッセージ</t>
  </si>
  <si>
    <t xml:space="preserve">社長の語りを中心に構成</t>
  </si>
  <si>
    <t xml:space="preserve">インタビューへ</t>
  </si>
  <si>
    <t xml:space="preserve">ひとつの部品に、いくつもの仕事。</t>
  </si>
  <si>
    <r>
      <rPr>
        <sz val="10.5"/>
        <color rgb="FF0F1B3A"/>
        <rFont val="Noto Sans CJK SC"/>
        <family val="2"/>
      </rPr>
      <t xml:space="preserve">工程のつながり／</t>
    </r>
    <r>
      <rPr>
        <sz val="10.5"/>
        <color rgb="FF0F1B3A"/>
        <rFont val="Yu Gothic"/>
        <family val="0"/>
        <charset val="1"/>
      </rPr>
      <t xml:space="preserve">5</t>
    </r>
    <r>
      <rPr>
        <sz val="10.5"/>
        <color rgb="FF0F1B3A"/>
        <rFont val="Noto Sans CJK SC"/>
        <family val="2"/>
      </rPr>
      <t xml:space="preserve">つの仕事</t>
    </r>
  </si>
  <si>
    <r>
      <rPr>
        <sz val="10.5"/>
        <color rgb="FF0F1B3A"/>
        <rFont val="Yu Gothic"/>
        <family val="0"/>
        <charset val="1"/>
      </rPr>
      <t xml:space="preserve">17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28</t>
    </r>
  </si>
  <si>
    <t xml:space="preserve">工程と職種の関係を説明</t>
  </si>
  <si>
    <t xml:space="preserve">各工程の詳細へ</t>
  </si>
  <si>
    <t xml:space="preserve">図面とデータで、現場を支える。</t>
  </si>
  <si>
    <t xml:space="preserve">仕事内容／一日／難しさ</t>
  </si>
  <si>
    <r>
      <rPr>
        <sz val="10.5"/>
        <color rgb="FF0F1B3A"/>
        <rFont val="Yu Gothic"/>
        <family val="0"/>
        <charset val="1"/>
      </rPr>
      <t xml:space="preserve">CAD</t>
    </r>
    <r>
      <rPr>
        <sz val="10.5"/>
        <color rgb="FF0F1B3A"/>
        <rFont val="Noto Sans CJK SC"/>
        <family val="2"/>
      </rPr>
      <t xml:space="preserve">の基礎が必要と明記</t>
    </r>
  </si>
  <si>
    <t xml:space="preserve">募集要項へ</t>
  </si>
  <si>
    <t xml:space="preserve">どこから削るか。まず、そこから考える。</t>
  </si>
  <si>
    <t xml:space="preserve">仕事内容／一日／成長</t>
  </si>
  <si>
    <r>
      <rPr>
        <sz val="10.5"/>
        <color rgb="FF0F1B3A"/>
        <rFont val="Yu Gothic"/>
        <family val="0"/>
        <charset val="1"/>
      </rPr>
      <t xml:space="preserve">04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20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21</t>
    </r>
  </si>
  <si>
    <t xml:space="preserve">仕事の大変さも併記</t>
  </si>
  <si>
    <t xml:space="preserve">製造の募集要項へ</t>
  </si>
  <si>
    <t xml:space="preserve">触れてわかる、仕上がりの違い。</t>
  </si>
  <si>
    <t xml:space="preserve">保護具の着用を写真で示す</t>
  </si>
  <si>
    <t xml:space="preserve">ぴったり、を確かめる。</t>
  </si>
  <si>
    <t xml:space="preserve">文系出身でも始められると明記</t>
  </si>
  <si>
    <t xml:space="preserve">品質管理の募集要項へ</t>
  </si>
  <si>
    <t xml:space="preserve">ひとつずつ合わせて、動く仕組みに。</t>
  </si>
  <si>
    <r>
      <rPr>
        <sz val="10.5"/>
        <color rgb="FF0F1B3A"/>
        <rFont val="Yu Gothic"/>
        <family val="0"/>
        <charset val="1"/>
      </rPr>
      <t xml:space="preserve">07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27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28</t>
    </r>
  </si>
  <si>
    <t xml:space="preserve">装置は停止中の写真のみ</t>
  </si>
  <si>
    <t xml:space="preserve">社員インタビュー</t>
  </si>
  <si>
    <t xml:space="preserve">働く人の数だけ、はじめの一歩がある。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</si>
  <si>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人のプロフィール／入社の経緯</t>
    </r>
  </si>
  <si>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04</t>
    </r>
  </si>
  <si>
    <t xml:space="preserve">新卒・中途と入社年を明記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</si>
  <si>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人の記事へ</t>
    </r>
  </si>
  <si>
    <t xml:space="preserve">インタビュー①</t>
  </si>
  <si>
    <t xml:space="preserve">工場って、もっと怖い場所だと思ってました。</t>
  </si>
  <si>
    <r>
      <rPr>
        <sz val="10.5"/>
        <color rgb="FF0F1B3A"/>
        <rFont val="Noto Sans CJK SC"/>
        <family val="2"/>
      </rPr>
      <t xml:space="preserve">製造（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年目・中途）／転職／最初に困ったこと</t>
    </r>
  </si>
  <si>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30</t>
    </r>
  </si>
  <si>
    <r>
      <rPr>
        <sz val="10.5"/>
        <color rgb="FF0F1B3A"/>
        <rFont val="Yu Gothic"/>
        <family val="0"/>
        <charset val="1"/>
      </rPr>
      <t xml:space="preserve">5</t>
    </r>
    <r>
      <rPr>
        <sz val="10.5"/>
        <color rgb="FF0F1B3A"/>
        <rFont val="Noto Sans CJK SC"/>
        <family val="2"/>
      </rPr>
      <t xml:space="preserve">つの章と具体的な場面</t>
    </r>
  </si>
  <si>
    <t xml:space="preserve">インタビュー②</t>
  </si>
  <si>
    <r>
      <rPr>
        <b val="true"/>
        <sz val="10.5"/>
        <color rgb="FF0F1B3A"/>
        <rFont val="Noto Sans CJK SC"/>
        <family val="2"/>
      </rPr>
      <t xml:space="preserve">文系の私が、</t>
    </r>
    <r>
      <rPr>
        <b val="true"/>
        <sz val="10.5"/>
        <color rgb="FF0F1B3A"/>
        <rFont val="Yu Gothic"/>
        <family val="0"/>
        <charset val="1"/>
      </rPr>
      <t xml:space="preserve">0.01mm</t>
    </r>
    <r>
      <rPr>
        <b val="true"/>
        <sz val="10.5"/>
        <color rgb="FF0F1B3A"/>
        <rFont val="Noto Sans CJK SC"/>
        <family val="2"/>
      </rPr>
      <t xml:space="preserve">と向き合っています。</t>
    </r>
  </si>
  <si>
    <r>
      <rPr>
        <sz val="10.5"/>
        <color rgb="FF0F1B3A"/>
        <rFont val="Noto Sans CJK SC"/>
        <family val="2"/>
      </rPr>
      <t xml:space="preserve">品質管理（</t>
    </r>
    <r>
      <rPr>
        <sz val="10.5"/>
        <color rgb="FF0F1B3A"/>
        <rFont val="Yu Gothic"/>
        <family val="0"/>
        <charset val="1"/>
      </rPr>
      <t xml:space="preserve">4</t>
    </r>
    <r>
      <rPr>
        <sz val="10.5"/>
        <color rgb="FF0F1B3A"/>
        <rFont val="Noto Sans CJK SC"/>
        <family val="2"/>
      </rPr>
      <t xml:space="preserve">年目・新卒）／測定／違いを伝える</t>
    </r>
  </si>
  <si>
    <t xml:space="preserve">文系出身を具体的に</t>
  </si>
  <si>
    <t xml:space="preserve">インタビュー③</t>
  </si>
  <si>
    <t xml:space="preserve">気づいたら、後輩に教える側になってた。</t>
  </si>
  <si>
    <r>
      <rPr>
        <sz val="10.5"/>
        <color rgb="FF0F1B3A"/>
        <rFont val="Noto Sans CJK SC"/>
        <family val="2"/>
      </rPr>
      <t xml:space="preserve">加工（</t>
    </r>
    <r>
      <rPr>
        <sz val="10.5"/>
        <color rgb="FF0F1B3A"/>
        <rFont val="Yu Gothic"/>
        <family val="0"/>
        <charset val="1"/>
      </rPr>
      <t xml:space="preserve">6</t>
    </r>
    <r>
      <rPr>
        <sz val="10.5"/>
        <color rgb="FF0F1B3A"/>
        <rFont val="Noto Sans CJK SC"/>
        <family val="2"/>
      </rPr>
      <t xml:space="preserve">年目・新卒）／段取り／教えること</t>
    </r>
  </si>
  <si>
    <r>
      <rPr>
        <sz val="10.5"/>
        <color rgb="FF0F1B3A"/>
        <rFont val="Yu Gothic"/>
        <family val="0"/>
        <charset val="1"/>
      </rPr>
      <t xml:space="preserve">04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33</t>
    </r>
  </si>
  <si>
    <t xml:space="preserve">成長の流れを本人の言葉で</t>
  </si>
  <si>
    <t xml:space="preserve">座談会へ</t>
  </si>
  <si>
    <r>
      <rPr>
        <b val="true"/>
        <sz val="10.5"/>
        <color rgb="FF0F1B3A"/>
        <rFont val="Noto Sans CJK SC"/>
        <family val="2"/>
      </rPr>
      <t xml:space="preserve">入社</t>
    </r>
    <r>
      <rPr>
        <b val="true"/>
        <sz val="10.5"/>
        <color rgb="FF0F1B3A"/>
        <rFont val="Yu Gothic"/>
        <family val="0"/>
        <charset val="1"/>
      </rPr>
      <t xml:space="preserve">1</t>
    </r>
    <r>
      <rPr>
        <b val="true"/>
        <sz val="10.5"/>
        <color rgb="FF0F1B3A"/>
        <rFont val="Noto Sans CJK SC"/>
        <family val="2"/>
      </rPr>
      <t xml:space="preserve">年目、ぶっちゃけどう？</t>
    </r>
  </si>
  <si>
    <r>
      <rPr>
        <sz val="10.5"/>
        <color rgb="FF0F1B3A"/>
        <rFont val="Noto Sans CJK SC"/>
        <family val="2"/>
      </rPr>
      <t xml:space="preserve">新人</t>
    </r>
    <r>
      <rPr>
        <sz val="10.5"/>
        <color rgb="FF0F1B3A"/>
        <rFont val="Yu Gothic"/>
        <family val="0"/>
        <charset val="1"/>
      </rPr>
      <t xml:space="preserve">A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B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C</t>
    </r>
    <r>
      <rPr>
        <sz val="10.5"/>
        <color rgb="FF0F1B3A"/>
        <rFont val="Noto Sans CJK SC"/>
        <family val="2"/>
      </rPr>
      <t xml:space="preserve">／初日／質問／失敗／休憩</t>
    </r>
  </si>
  <si>
    <t xml:space="preserve">34–38</t>
  </si>
  <si>
    <t xml:space="preserve">話者を明確に。発言は創作</t>
  </si>
  <si>
    <t xml:space="preserve">新卒採用へ</t>
  </si>
  <si>
    <t xml:space="preserve">はじめてを、ひとりにしない。</t>
  </si>
  <si>
    <r>
      <rPr>
        <sz val="10.5"/>
        <color rgb="FF0F1B3A"/>
        <rFont val="Noto Sans CJK SC"/>
        <family val="2"/>
      </rPr>
      <t xml:space="preserve">育成／働き方の数字／道具と安全／</t>
    </r>
    <r>
      <rPr>
        <sz val="10.5"/>
        <color rgb="FF0F1B3A"/>
        <rFont val="Yu Gothic"/>
        <family val="0"/>
        <charset val="1"/>
      </rPr>
      <t xml:space="preserve">Q&amp;A</t>
    </r>
  </si>
  <si>
    <t xml:space="preserve">残業・休日を数字で</t>
  </si>
  <si>
    <t xml:space="preserve">新卒採用・募集要項へ</t>
  </si>
  <si>
    <r>
      <rPr>
        <b val="true"/>
        <sz val="10.5"/>
        <color rgb="FF0F1B3A"/>
        <rFont val="Noto Sans CJK SC"/>
        <family val="2"/>
      </rPr>
      <t xml:space="preserve">新卒採用 </t>
    </r>
    <r>
      <rPr>
        <b val="true"/>
        <sz val="10.5"/>
        <color rgb="FF0F1B3A"/>
        <rFont val="Yu Gothic"/>
        <family val="0"/>
        <charset val="1"/>
      </rPr>
      <t xml:space="preserve">2027</t>
    </r>
  </si>
  <si>
    <t xml:space="preserve">部品のことは、入ってから覚えればいい。</t>
  </si>
  <si>
    <r>
      <rPr>
        <sz val="10.5"/>
        <color rgb="FF0F1B3A"/>
        <rFont val="Noto Sans CJK SC"/>
        <family val="2"/>
      </rPr>
      <t xml:space="preserve">数字／初任給と寮／</t>
    </r>
    <r>
      <rPr>
        <sz val="10.5"/>
        <color rgb="FF0F1B3A"/>
        <rFont val="Yu Gothic"/>
        <family val="0"/>
        <charset val="1"/>
      </rPr>
      <t xml:space="preserve">1</t>
    </r>
    <r>
      <rPr>
        <sz val="10.5"/>
        <color rgb="FF0F1B3A"/>
        <rFont val="Noto Sans CJK SC"/>
        <family val="2"/>
      </rPr>
      <t xml:space="preserve">年目／仕事体験／選考／</t>
    </r>
    <r>
      <rPr>
        <sz val="10.5"/>
        <color rgb="FF0F1B3A"/>
        <rFont val="Yu Gothic"/>
        <family val="0"/>
        <charset val="1"/>
      </rPr>
      <t xml:space="preserve">Q&amp;A</t>
    </r>
  </si>
  <si>
    <r>
      <rPr>
        <sz val="10.5"/>
        <color rgb="FF0F1B3A"/>
        <rFont val="Yu Gothic"/>
        <family val="0"/>
        <charset val="1"/>
      </rPr>
      <t xml:space="preserve">40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06</t>
    </r>
  </si>
  <si>
    <t xml:space="preserve">学歴別の初任給。年を入れた日程</t>
  </si>
  <si>
    <t xml:space="preserve">工場見学・説明会へ</t>
  </si>
  <si>
    <t xml:space="preserve">中途採用</t>
  </si>
  <si>
    <t xml:space="preserve">前の仕事は、ここで、どう活きる？</t>
  </si>
  <si>
    <r>
      <rPr>
        <sz val="10.5"/>
        <color rgb="FF0F1B3A"/>
        <rFont val="Noto Sans CJK SC"/>
        <family val="2"/>
      </rPr>
      <t xml:space="preserve">数字／</t>
    </r>
    <r>
      <rPr>
        <sz val="10.5"/>
        <color rgb="FF0F1B3A"/>
        <rFont val="Yu Gothic"/>
        <family val="0"/>
        <charset val="1"/>
      </rPr>
      <t xml:space="preserve">2</t>
    </r>
    <r>
      <rPr>
        <sz val="10.5"/>
        <color rgb="FF0F1B3A"/>
        <rFont val="Noto Sans CJK SC"/>
        <family val="2"/>
      </rPr>
      <t xml:space="preserve">つの入り方／経験者向け（設備・任せる範囲・評価）／前職の経験／給与と条件／</t>
    </r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か月／</t>
    </r>
    <r>
      <rPr>
        <sz val="10.5"/>
        <color rgb="FF0F1B3A"/>
        <rFont val="Yu Gothic"/>
        <family val="0"/>
        <charset val="1"/>
      </rPr>
      <t xml:space="preserve">Q&amp;A</t>
    </r>
  </si>
  <si>
    <r>
      <rPr>
        <sz val="10.5"/>
        <color rgb="FF0F1B3A"/>
        <rFont val="Yu Gothic"/>
        <family val="0"/>
        <charset val="1"/>
      </rPr>
      <t xml:space="preserve">41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29</t>
    </r>
    <r>
      <rPr>
        <sz val="10.5"/>
        <color rgb="FF0F1B3A"/>
        <rFont val="Noto Sans CJK SC"/>
        <family val="2"/>
      </rPr>
      <t xml:space="preserve">・</t>
    </r>
    <r>
      <rPr>
        <sz val="10.5"/>
        <color rgb="FF0F1B3A"/>
        <rFont val="Yu Gothic"/>
        <family val="0"/>
        <charset val="1"/>
      </rPr>
      <t xml:space="preserve">22</t>
    </r>
  </si>
  <si>
    <t xml:space="preserve">経験者・未経験の入口を分ける。前職の話は本人の言葉で</t>
  </si>
  <si>
    <t xml:space="preserve">工場見学・募集要項へ</t>
  </si>
  <si>
    <t xml:space="preserve">募集要項・選考</t>
  </si>
  <si>
    <t xml:space="preserve">気になる仕事から、はじめよう。</t>
  </si>
  <si>
    <r>
      <rPr>
        <sz val="10.5"/>
        <color rgb="FF0F1B3A"/>
        <rFont val="Yu Gothic"/>
        <family val="0"/>
        <charset val="1"/>
      </rPr>
      <t xml:space="preserve">3</t>
    </r>
    <r>
      <rPr>
        <sz val="10.5"/>
        <color rgb="FF0F1B3A"/>
        <rFont val="Noto Sans CJK SC"/>
        <family val="2"/>
      </rPr>
      <t xml:space="preserve">職種の条件／共通条件／選考の流れ／申し込み</t>
    </r>
  </si>
  <si>
    <t xml:space="preserve">新卒の初任給は新卒ページと一致させる</t>
  </si>
  <si>
    <t xml:space="preserve">工場見学・説明会の申し込みへ</t>
  </si>
  <si>
    <r>
      <rPr>
        <b val="true"/>
        <sz val="18"/>
        <color rgb="FF0F1B3A"/>
        <rFont val="Noto Sans CJK SC"/>
        <family val="2"/>
      </rPr>
      <t xml:space="preserve">写真</t>
    </r>
    <r>
      <rPr>
        <b val="true"/>
        <sz val="18"/>
        <color rgb="FF0F1B3A"/>
        <rFont val="Yu Gothic"/>
        <family val="0"/>
        <charset val="1"/>
      </rPr>
      <t xml:space="preserve">41</t>
    </r>
    <r>
      <rPr>
        <b val="true"/>
        <sz val="18"/>
        <color rgb="FF0F1B3A"/>
        <rFont val="Noto Sans CJK SC"/>
        <family val="2"/>
      </rPr>
      <t xml:space="preserve">点 カット見本</t>
    </r>
  </si>
  <si>
    <r>
      <rPr>
        <sz val="9.5"/>
        <color rgb="FF4A5468"/>
        <rFont val="Noto Sans CJK SC"/>
        <family val="2"/>
      </rPr>
      <t xml:space="preserve">青澄テクニカ 採用サイト制作計画（デモ）｜撮影指示書の写真</t>
    </r>
    <r>
      <rPr>
        <sz val="9.5"/>
        <color rgb="FF4A5468"/>
        <rFont val="Yu Gothic"/>
        <family val="0"/>
        <charset val="1"/>
      </rPr>
      <t xml:space="preserve">ID</t>
    </r>
    <r>
      <rPr>
        <sz val="9.5"/>
        <color rgb="FF4A5468"/>
        <rFont val="Noto Sans CJK SC"/>
        <family val="2"/>
      </rPr>
      <t xml:space="preserve">と対応</t>
    </r>
  </si>
  <si>
    <r>
      <rPr>
        <sz val="10"/>
        <color rgb="FF4A5468"/>
        <rFont val="Noto Sans CJK SC"/>
        <family val="2"/>
      </rPr>
      <t xml:space="preserve">写真は</t>
    </r>
    <r>
      <rPr>
        <sz val="10"/>
        <color rgb="FF4A5468"/>
        <rFont val="Yu Gothic"/>
        <family val="0"/>
        <charset val="1"/>
      </rPr>
      <t xml:space="preserve">AI</t>
    </r>
    <r>
      <rPr>
        <sz val="10"/>
        <color rgb="FF4A5468"/>
        <rFont val="Noto Sans CJK SC"/>
        <family val="2"/>
      </rPr>
      <t xml:space="preserve">生成です。左・中央・右の</t>
    </r>
    <r>
      <rPr>
        <sz val="10"/>
        <color rgb="FF4A5468"/>
        <rFont val="Yu Gothic"/>
        <family val="0"/>
        <charset val="1"/>
      </rPr>
      <t xml:space="preserve">3</t>
    </r>
    <r>
      <rPr>
        <sz val="10"/>
        <color rgb="FF4A5468"/>
        <rFont val="Noto Sans CJK SC"/>
        <family val="2"/>
      </rPr>
      <t xml:space="preserve">カットを、撮影指示書の写真</t>
    </r>
    <r>
      <rPr>
        <sz val="10"/>
        <color rgb="FF4A5468"/>
        <rFont val="Yu Gothic"/>
        <family val="0"/>
        <charset val="1"/>
      </rPr>
      <t xml:space="preserve">ID</t>
    </r>
    <r>
      <rPr>
        <sz val="10"/>
        <color rgb="FF4A5468"/>
        <rFont val="Noto Sans CJK SC"/>
        <family val="2"/>
      </rPr>
      <t xml:space="preserve">と対応させて表示しています。人物・服装・動作は実際の撮影で確認します。</t>
    </r>
  </si>
  <si>
    <r>
      <rPr>
        <b val="true"/>
        <sz val="10"/>
        <color rgb="FFFFFFFF"/>
        <rFont val="Yu Gothic"/>
        <family val="0"/>
        <charset val="1"/>
      </rPr>
      <t xml:space="preserve">01 </t>
    </r>
    <r>
      <rPr>
        <b val="true"/>
        <sz val="10"/>
        <color rgb="FFFFFFFF"/>
        <rFont val="Noto Sans CJK SC"/>
        <family val="2"/>
      </rPr>
      <t xml:space="preserve">図面の上に置いた部品／トップ（</t>
    </r>
    <r>
      <rPr>
        <b val="true"/>
        <sz val="10"/>
        <color rgb="FFFFFFFF"/>
        <rFont val="Yu Gothic"/>
        <family val="0"/>
        <charset val="1"/>
      </rPr>
      <t xml:space="preserve">FV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</si>
  <si>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sz val="10"/>
        <color rgb="FF4A5468"/>
        <rFont val="Noto Sans CJK SC"/>
        <family val="2"/>
      </rPr>
      <t xml:space="preserve">掲載先：トップ（</t>
    </r>
    <r>
      <rPr>
        <sz val="10"/>
        <color rgb="FF4A5468"/>
        <rFont val="Yu Gothic"/>
        <family val="0"/>
        <charset val="1"/>
      </rPr>
      <t xml:space="preserve">FV</t>
    </r>
    <r>
      <rPr>
        <sz val="10"/>
        <color rgb="FF4A5468"/>
        <rFont val="Noto Sans CJK SC"/>
        <family val="2"/>
      </rPr>
      <t xml:space="preserve">）</t>
    </r>
  </si>
  <si>
    <r>
      <rPr>
        <b val="true"/>
        <sz val="10"/>
        <color rgb="FFFFFFFF"/>
        <rFont val="Yu Gothic"/>
        <family val="0"/>
        <charset val="1"/>
      </rPr>
      <t xml:space="preserve">02 </t>
    </r>
    <r>
      <rPr>
        <b val="true"/>
        <sz val="10"/>
        <color rgb="FFFFFFFF"/>
        <rFont val="Noto Sans CJK SC"/>
        <family val="2"/>
      </rPr>
      <t xml:space="preserve">部品のアップ</t>
    </r>
  </si>
  <si>
    <r>
      <rPr>
        <b val="true"/>
        <sz val="10"/>
        <color rgb="FFFFFFFF"/>
        <rFont val="Yu Gothic"/>
        <family val="0"/>
        <charset val="1"/>
      </rPr>
      <t xml:space="preserve">03 </t>
    </r>
    <r>
      <rPr>
        <b val="true"/>
        <sz val="10"/>
        <color rgb="FFFFFFFF"/>
        <rFont val="Noto Sans CJK SC"/>
        <family val="2"/>
      </rPr>
      <t xml:space="preserve">産業用ロボットの装置</t>
    </r>
  </si>
  <si>
    <r>
      <rPr>
        <b val="true"/>
        <sz val="10"/>
        <color rgb="FFFFFFFF"/>
        <rFont val="Yu Gothic"/>
        <family val="0"/>
        <charset val="1"/>
      </rPr>
      <t xml:space="preserve">04 </t>
    </r>
    <r>
      <rPr>
        <b val="true"/>
        <sz val="10"/>
        <color rgb="FFFFFFFF"/>
        <rFont val="Noto Sans CJK SC"/>
        <family val="2"/>
      </rPr>
      <t xml:space="preserve">加工した部品を確かめる若手</t>
    </r>
  </si>
  <si>
    <t xml:space="preserve">掲載先：トップ（正体）</t>
  </si>
  <si>
    <t xml:space="preserve">掲載先：トップ（削る）／加工インタビュー</t>
  </si>
  <si>
    <r>
      <rPr>
        <b val="true"/>
        <sz val="10"/>
        <color rgb="FFFFFFFF"/>
        <rFont val="Yu Gothic"/>
        <family val="0"/>
        <charset val="1"/>
      </rPr>
      <t xml:space="preserve">05 </t>
    </r>
    <r>
      <rPr>
        <b val="true"/>
        <sz val="10"/>
        <color rgb="FFFFFFFF"/>
        <rFont val="Noto Sans CJK SC"/>
        <family val="2"/>
      </rPr>
      <t xml:space="preserve">仕上がりを確かめる</t>
    </r>
  </si>
  <si>
    <r>
      <rPr>
        <b val="true"/>
        <sz val="10"/>
        <color rgb="FFFFFFFF"/>
        <rFont val="Yu Gothic"/>
        <family val="0"/>
        <charset val="1"/>
      </rPr>
      <t xml:space="preserve">06 </t>
    </r>
    <r>
      <rPr>
        <b val="true"/>
        <sz val="10"/>
        <color rgb="FFFFFFFF"/>
        <rFont val="Noto Sans CJK SC"/>
        <family val="2"/>
      </rPr>
      <t xml:space="preserve">ノギスで測る手元</t>
    </r>
  </si>
  <si>
    <r>
      <rPr>
        <b val="true"/>
        <sz val="10"/>
        <color rgb="FFFFFFFF"/>
        <rFont val="Yu Gothic"/>
        <family val="0"/>
        <charset val="1"/>
      </rPr>
      <t xml:space="preserve">07 </t>
    </r>
    <r>
      <rPr>
        <b val="true"/>
        <sz val="10"/>
        <color rgb="FFFFFFFF"/>
        <rFont val="Noto Sans CJK SC"/>
        <family val="2"/>
      </rPr>
      <t xml:space="preserve">先輩と若手が工程を相談</t>
    </r>
  </si>
  <si>
    <t xml:space="preserve">掲載先：トップ（磨く）</t>
  </si>
  <si>
    <t xml:space="preserve">掲載先：トップ（測る）／新卒採用</t>
  </si>
  <si>
    <t xml:space="preserve">掲載先：トップ（組み立てる）</t>
  </si>
  <si>
    <r>
      <rPr>
        <b val="true"/>
        <sz val="10"/>
        <color rgb="FFFFFFFF"/>
        <rFont val="Yu Gothic"/>
        <family val="0"/>
        <charset val="1"/>
      </rPr>
      <t xml:space="preserve">08 </t>
    </r>
    <r>
      <rPr>
        <b val="true"/>
        <sz val="10"/>
        <color rgb="FFFFFFFF"/>
        <rFont val="Noto Sans CJK SC"/>
        <family val="2"/>
      </rPr>
      <t xml:space="preserve">段取り表を確認する若手</t>
    </r>
  </si>
  <si>
    <r>
      <rPr>
        <b val="true"/>
        <sz val="10"/>
        <color rgb="FFFFFFFF"/>
        <rFont val="Yu Gothic"/>
        <family val="0"/>
        <charset val="1"/>
      </rPr>
      <t xml:space="preserve">09 </t>
    </r>
    <r>
      <rPr>
        <b val="true"/>
        <sz val="10"/>
        <color rgb="FFFFFFFF"/>
        <rFont val="Noto Sans CJK SC"/>
        <family val="2"/>
      </rPr>
      <t xml:space="preserve">工場見学の案内</t>
    </r>
  </si>
  <si>
    <r>
      <rPr>
        <b val="true"/>
        <sz val="10"/>
        <color rgb="FFFFFFFF"/>
        <rFont val="Yu Gothic"/>
        <family val="0"/>
        <charset val="1"/>
      </rPr>
      <t xml:space="preserve">10 </t>
    </r>
    <r>
      <rPr>
        <b val="true"/>
        <sz val="10"/>
        <color rgb="FFFFFFFF"/>
        <rFont val="Noto Sans CJK SC"/>
        <family val="2"/>
      </rPr>
      <t xml:space="preserve">本社工場の外観</t>
    </r>
  </si>
  <si>
    <t xml:space="preserve">掲載先：トップ（働く一日）</t>
  </si>
  <si>
    <t xml:space="preserve">掲載先：トップ（はじめの一歩）</t>
  </si>
  <si>
    <t xml:space="preserve">掲載先：会社情報</t>
  </si>
  <si>
    <r>
      <rPr>
        <b val="true"/>
        <sz val="10"/>
        <color rgb="FFFFFFFF"/>
        <rFont val="Yu Gothic"/>
        <family val="0"/>
        <charset val="1"/>
      </rPr>
      <t xml:space="preserve">11 </t>
    </r>
    <r>
      <rPr>
        <b val="true"/>
        <sz val="10"/>
        <color rgb="FFFFFFFF"/>
        <rFont val="Noto Sans CJK SC"/>
        <family val="2"/>
      </rPr>
      <t xml:space="preserve">工場の全景</t>
    </r>
  </si>
  <si>
    <r>
      <rPr>
        <b val="true"/>
        <sz val="10"/>
        <color rgb="FFFFFFFF"/>
        <rFont val="Yu Gothic"/>
        <family val="0"/>
        <charset val="1"/>
      </rPr>
      <t xml:space="preserve">12 </t>
    </r>
    <r>
      <rPr>
        <b val="true"/>
        <sz val="10"/>
        <color rgb="FFFFFFFF"/>
        <rFont val="Noto Sans CJK SC"/>
        <family val="2"/>
      </rPr>
      <t xml:space="preserve">オフィス</t>
    </r>
  </si>
  <si>
    <r>
      <rPr>
        <b val="true"/>
        <sz val="10"/>
        <color rgb="FFFFFFFF"/>
        <rFont val="Yu Gothic"/>
        <family val="0"/>
        <charset val="1"/>
      </rPr>
      <t xml:space="preserve">13 </t>
    </r>
    <r>
      <rPr>
        <b val="true"/>
        <sz val="10"/>
        <color rgb="FFFFFFFF"/>
        <rFont val="Noto Sans CJK SC"/>
        <family val="2"/>
      </rPr>
      <t xml:space="preserve">工場の通路と加工機</t>
    </r>
  </si>
  <si>
    <r>
      <rPr>
        <sz val="10"/>
        <color rgb="FF4A5468"/>
        <rFont val="Noto Sans CJK SC"/>
        <family val="2"/>
      </rPr>
      <t xml:space="preserve">掲載先：</t>
    </r>
    <r>
      <rPr>
        <sz val="10"/>
        <color rgb="FF4A5468"/>
        <rFont val="Yu Gothic"/>
        <family val="0"/>
        <charset val="1"/>
      </rPr>
      <t xml:space="preserve">3</t>
    </r>
    <r>
      <rPr>
        <sz val="10"/>
        <color rgb="FF4A5468"/>
        <rFont val="Noto Sans CJK SC"/>
        <family val="2"/>
      </rPr>
      <t xml:space="preserve">分でわかる</t>
    </r>
  </si>
  <si>
    <r>
      <rPr>
        <b val="true"/>
        <sz val="10"/>
        <color rgb="FFFFFFFF"/>
        <rFont val="Yu Gothic"/>
        <family val="0"/>
        <charset val="1"/>
      </rPr>
      <t xml:space="preserve">14 </t>
    </r>
    <r>
      <rPr>
        <b val="true"/>
        <sz val="10"/>
        <color rgb="FFFFFFFF"/>
        <rFont val="Noto Sans CJK SC"/>
        <family val="2"/>
      </rPr>
      <t xml:space="preserve">図面と部品の作業台</t>
    </r>
  </si>
  <si>
    <r>
      <rPr>
        <b val="true"/>
        <sz val="10"/>
        <color rgb="FFFFFFFF"/>
        <rFont val="Yu Gothic"/>
        <family val="0"/>
        <charset val="1"/>
      </rPr>
      <t xml:space="preserve">15 </t>
    </r>
    <r>
      <rPr>
        <b val="true"/>
        <sz val="10"/>
        <color rgb="FFFFFFFF"/>
        <rFont val="Noto Sans CJK SC"/>
        <family val="2"/>
      </rPr>
      <t xml:space="preserve">社長ポートレート</t>
    </r>
  </si>
  <si>
    <r>
      <rPr>
        <b val="true"/>
        <sz val="10"/>
        <color rgb="FFFFFFFF"/>
        <rFont val="Yu Gothic"/>
        <family val="0"/>
        <charset val="1"/>
      </rPr>
      <t xml:space="preserve">16 </t>
    </r>
    <r>
      <rPr>
        <b val="true"/>
        <sz val="10"/>
        <color rgb="FFFFFFFF"/>
        <rFont val="Noto Sans CJK SC"/>
        <family val="2"/>
      </rPr>
      <t xml:space="preserve">社長と現場の社員</t>
    </r>
  </si>
  <si>
    <t xml:space="preserve">掲載先：募集要項</t>
  </si>
  <si>
    <t xml:space="preserve">掲載先：社長メッセージ</t>
  </si>
  <si>
    <r>
      <rPr>
        <b val="true"/>
        <sz val="10"/>
        <color rgb="FFFFFFFF"/>
        <rFont val="Yu Gothic"/>
        <family val="0"/>
        <charset val="1"/>
      </rPr>
      <t xml:space="preserve">17 </t>
    </r>
    <r>
      <rPr>
        <b val="true"/>
        <sz val="10"/>
        <color rgb="FFFFFFFF"/>
        <rFont val="Noto Sans CJK SC"/>
        <family val="2"/>
      </rPr>
      <t xml:space="preserve">部品の集合</t>
    </r>
  </si>
  <si>
    <r>
      <rPr>
        <b val="true"/>
        <sz val="10"/>
        <color rgb="FFFFFFFF"/>
        <rFont val="Yu Gothic"/>
        <family val="0"/>
        <charset val="1"/>
      </rPr>
      <t xml:space="preserve">18 </t>
    </r>
    <r>
      <rPr>
        <b val="true"/>
        <sz val="10"/>
        <color rgb="FFFFFFFF"/>
        <rFont val="Noto Sans CJK SC"/>
        <family val="2"/>
      </rPr>
      <t xml:space="preserve">設計補助担当のポートレート</t>
    </r>
  </si>
  <si>
    <r>
      <rPr>
        <b val="true"/>
        <sz val="10"/>
        <color rgb="FFFFFFFF"/>
        <rFont val="Yu Gothic"/>
        <family val="0"/>
        <charset val="1"/>
      </rPr>
      <t xml:space="preserve">19 CAD</t>
    </r>
    <r>
      <rPr>
        <b val="true"/>
        <sz val="10"/>
        <color rgb="FFFFFFFF"/>
        <rFont val="Noto Sans CJK SC"/>
        <family val="2"/>
      </rPr>
      <t xml:space="preserve">で図面を確認</t>
    </r>
  </si>
  <si>
    <t xml:space="preserve">掲載先：仕事の全体</t>
  </si>
  <si>
    <t xml:space="preserve">掲載先：設計補助</t>
  </si>
  <si>
    <r>
      <rPr>
        <b val="true"/>
        <sz val="10"/>
        <color rgb="FFFFFFFF"/>
        <rFont val="Yu Gothic"/>
        <family val="0"/>
        <charset val="1"/>
      </rPr>
      <t xml:space="preserve">20 </t>
    </r>
    <r>
      <rPr>
        <b val="true"/>
        <sz val="10"/>
        <color rgb="FFFFFFFF"/>
        <rFont val="Noto Sans CJK SC"/>
        <family val="2"/>
      </rPr>
      <t xml:space="preserve">加工機の前に立つ</t>
    </r>
  </si>
  <si>
    <r>
      <rPr>
        <b val="true"/>
        <sz val="10"/>
        <color rgb="FFFFFFFF"/>
        <rFont val="Yu Gothic"/>
        <family val="0"/>
        <charset val="1"/>
      </rPr>
      <t xml:space="preserve">21 </t>
    </r>
    <r>
      <rPr>
        <b val="true"/>
        <sz val="10"/>
        <color rgb="FFFFFFFF"/>
        <rFont val="Noto Sans CJK SC"/>
        <family val="2"/>
      </rPr>
      <t xml:space="preserve">刃物と切粉のアップ</t>
    </r>
  </si>
  <si>
    <r>
      <rPr>
        <b val="true"/>
        <sz val="10"/>
        <color rgb="FFFFFFFF"/>
        <rFont val="Yu Gothic"/>
        <family val="0"/>
        <charset val="1"/>
      </rPr>
      <t xml:space="preserve">22 </t>
    </r>
    <r>
      <rPr>
        <b val="true"/>
        <sz val="10"/>
        <color rgb="FFFFFFFF"/>
        <rFont val="Noto Sans CJK SC"/>
        <family val="2"/>
      </rPr>
      <t xml:space="preserve">作業場の全体</t>
    </r>
  </si>
  <si>
    <t xml:space="preserve">掲載先：加工</t>
  </si>
  <si>
    <t xml:space="preserve">掲載先：働く環境</t>
  </si>
  <si>
    <r>
      <rPr>
        <b val="true"/>
        <sz val="10"/>
        <color rgb="FFFFFFFF"/>
        <rFont val="Yu Gothic"/>
        <family val="0"/>
        <charset val="1"/>
      </rPr>
      <t xml:space="preserve">23 </t>
    </r>
    <r>
      <rPr>
        <b val="true"/>
        <sz val="10"/>
        <color rgb="FFFFFFFF"/>
        <rFont val="Noto Sans CJK SC"/>
        <family val="2"/>
      </rPr>
      <t xml:space="preserve">バリ取りの作業</t>
    </r>
  </si>
  <si>
    <r>
      <rPr>
        <b val="true"/>
        <sz val="10"/>
        <color rgb="FFFFFFFF"/>
        <rFont val="Yu Gothic"/>
        <family val="0"/>
        <charset val="1"/>
      </rPr>
      <t xml:space="preserve">24 </t>
    </r>
    <r>
      <rPr>
        <b val="true"/>
        <sz val="10"/>
        <color rgb="FFFFFFFF"/>
        <rFont val="Noto Sans CJK SC"/>
        <family val="2"/>
      </rPr>
      <t xml:space="preserve">仕上がりを</t>
    </r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人で確認</t>
    </r>
  </si>
  <si>
    <r>
      <rPr>
        <b val="true"/>
        <sz val="10"/>
        <color rgb="FFFFFFFF"/>
        <rFont val="Yu Gothic"/>
        <family val="0"/>
        <charset val="1"/>
      </rPr>
      <t xml:space="preserve">25 </t>
    </r>
    <r>
      <rPr>
        <b val="true"/>
        <sz val="10"/>
        <color rgb="FFFFFFFF"/>
        <rFont val="Noto Sans CJK SC"/>
        <family val="2"/>
      </rPr>
      <t xml:space="preserve">デジタル測定器</t>
    </r>
  </si>
  <si>
    <t xml:space="preserve">掲載先：仕上げ</t>
  </si>
  <si>
    <t xml:space="preserve">掲載先：品質管理</t>
  </si>
  <si>
    <r>
      <rPr>
        <b val="true"/>
        <sz val="10"/>
        <color rgb="FFFFFFFF"/>
        <rFont val="Yu Gothic"/>
        <family val="0"/>
        <charset val="1"/>
      </rPr>
      <t xml:space="preserve">26 </t>
    </r>
    <r>
      <rPr>
        <b val="true"/>
        <sz val="10"/>
        <color rgb="FFFFFFFF"/>
        <rFont val="Noto Sans CJK SC"/>
        <family val="2"/>
      </rPr>
      <t xml:space="preserve">測定する品質管理担当</t>
    </r>
  </si>
  <si>
    <r>
      <rPr>
        <b val="true"/>
        <sz val="10"/>
        <color rgb="FFFFFFFF"/>
        <rFont val="Yu Gothic"/>
        <family val="0"/>
        <charset val="1"/>
      </rPr>
      <t xml:space="preserve">27 </t>
    </r>
    <r>
      <rPr>
        <b val="true"/>
        <sz val="10"/>
        <color rgb="FFFFFFFF"/>
        <rFont val="Noto Sans CJK SC"/>
        <family val="2"/>
      </rPr>
      <t xml:space="preserve">組み立ての作業</t>
    </r>
  </si>
  <si>
    <r>
      <rPr>
        <b val="true"/>
        <sz val="10"/>
        <color rgb="FFFFFFFF"/>
        <rFont val="Yu Gothic"/>
        <family val="0"/>
        <charset val="1"/>
      </rPr>
      <t xml:space="preserve">28 3</t>
    </r>
    <r>
      <rPr>
        <b val="true"/>
        <sz val="10"/>
        <color rgb="FFFFFFFF"/>
        <rFont val="Noto Sans CJK SC"/>
        <family val="2"/>
      </rPr>
      <t xml:space="preserve">人で図面を確認</t>
    </r>
  </si>
  <si>
    <t xml:space="preserve">掲載先：組み立て</t>
  </si>
  <si>
    <t xml:space="preserve">掲載先：組み立て／仕事の全体</t>
  </si>
  <si>
    <r>
      <rPr>
        <b val="true"/>
        <sz val="10"/>
        <color rgb="FFFFFFFF"/>
        <rFont val="Yu Gothic"/>
        <family val="0"/>
        <charset val="1"/>
      </rPr>
      <t xml:space="preserve">29 </t>
    </r>
    <r>
      <rPr>
        <b val="true"/>
        <sz val="10"/>
        <color rgb="FFFFFFFF"/>
        <rFont val="Noto Sans CJK SC"/>
        <family val="2"/>
      </rPr>
      <t xml:space="preserve">製造（</t>
    </r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年目）ポートレート</t>
    </r>
  </si>
  <si>
    <r>
      <rPr>
        <b val="true"/>
        <sz val="10"/>
        <color rgb="FFFFFFFF"/>
        <rFont val="Yu Gothic"/>
        <family val="0"/>
        <charset val="1"/>
      </rPr>
      <t xml:space="preserve">30 </t>
    </r>
    <r>
      <rPr>
        <b val="true"/>
        <sz val="10"/>
        <color rgb="FFFFFFFF"/>
        <rFont val="Noto Sans CJK SC"/>
        <family val="2"/>
      </rPr>
      <t xml:space="preserve">図面を見て道具を準備</t>
    </r>
  </si>
  <si>
    <r>
      <rPr>
        <b val="true"/>
        <sz val="10"/>
        <color rgb="FFFFFFFF"/>
        <rFont val="Yu Gothic"/>
        <family val="0"/>
        <charset val="1"/>
      </rPr>
      <t xml:space="preserve">31 </t>
    </r>
    <r>
      <rPr>
        <b val="true"/>
        <sz val="10"/>
        <color rgb="FFFFFFFF"/>
        <rFont val="Noto Sans CJK SC"/>
        <family val="2"/>
      </rPr>
      <t xml:space="preserve">品質管理（</t>
    </r>
    <r>
      <rPr>
        <b val="true"/>
        <sz val="10"/>
        <color rgb="FFFFFFFF"/>
        <rFont val="Yu Gothic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年目）ポートレート</t>
    </r>
  </si>
  <si>
    <t xml:space="preserve">掲載先：製造インタビュー</t>
  </si>
  <si>
    <t xml:space="preserve">掲載先：品質管理インタビュー</t>
  </si>
  <si>
    <r>
      <rPr>
        <b val="true"/>
        <sz val="10"/>
        <color rgb="FFFFFFFF"/>
        <rFont val="Yu Gothic"/>
        <family val="0"/>
        <charset val="1"/>
      </rPr>
      <t xml:space="preserve">32 </t>
    </r>
    <r>
      <rPr>
        <b val="true"/>
        <sz val="10"/>
        <color rgb="FFFFFFFF"/>
        <rFont val="Noto Sans CJK SC"/>
        <family val="2"/>
      </rPr>
      <t xml:space="preserve">測定の場面</t>
    </r>
  </si>
  <si>
    <r>
      <rPr>
        <b val="true"/>
        <sz val="10"/>
        <color rgb="FFFFFFFF"/>
        <rFont val="Yu Gothic"/>
        <family val="0"/>
        <charset val="1"/>
      </rPr>
      <t xml:space="preserve">33 </t>
    </r>
    <r>
      <rPr>
        <b val="true"/>
        <sz val="10"/>
        <color rgb="FFFFFFFF"/>
        <rFont val="Noto Sans CJK SC"/>
        <family val="2"/>
      </rPr>
      <t xml:space="preserve">後輩と図面を相談</t>
    </r>
  </si>
  <si>
    <r>
      <rPr>
        <b val="true"/>
        <sz val="10"/>
        <color rgb="FFFFFFFF"/>
        <rFont val="Yu Gothic"/>
        <family val="0"/>
        <charset val="1"/>
      </rPr>
      <t xml:space="preserve">34 </t>
    </r>
    <r>
      <rPr>
        <b val="true"/>
        <sz val="10"/>
        <color rgb="FFFFFFFF"/>
        <rFont val="Noto Sans CJK SC"/>
        <family val="2"/>
      </rPr>
      <t xml:space="preserve">新人</t>
    </r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人の集合</t>
    </r>
  </si>
  <si>
    <t xml:space="preserve">掲載先：加工インタビュー</t>
  </si>
  <si>
    <t xml:space="preserve">掲載先：新入社員座談会</t>
  </si>
  <si>
    <r>
      <rPr>
        <b val="true"/>
        <sz val="10"/>
        <color rgb="FFFFFFFF"/>
        <rFont val="Yu Gothic"/>
        <family val="0"/>
        <charset val="1"/>
      </rPr>
      <t xml:space="preserve">35 </t>
    </r>
    <r>
      <rPr>
        <b val="true"/>
        <sz val="10"/>
        <color rgb="FFFFFFFF"/>
        <rFont val="Noto Sans CJK SC"/>
        <family val="2"/>
      </rPr>
      <t xml:space="preserve">座談会の会話</t>
    </r>
  </si>
  <si>
    <r>
      <rPr>
        <b val="true"/>
        <sz val="10"/>
        <color rgb="FFFFFFFF"/>
        <rFont val="Yu Gothic"/>
        <family val="0"/>
        <charset val="1"/>
      </rPr>
      <t xml:space="preserve">36 </t>
    </r>
    <r>
      <rPr>
        <b val="true"/>
        <sz val="10"/>
        <color rgb="FFFFFFFF"/>
        <rFont val="Noto Sans CJK SC"/>
        <family val="2"/>
      </rPr>
      <t xml:space="preserve">新人</t>
    </r>
    <r>
      <rPr>
        <b val="true"/>
        <sz val="10"/>
        <color rgb="FFFFFFFF"/>
        <rFont val="Yu Gothic"/>
        <family val="0"/>
        <charset val="1"/>
      </rPr>
      <t xml:space="preserve">A </t>
    </r>
    <r>
      <rPr>
        <b val="true"/>
        <sz val="10"/>
        <color rgb="FFFFFFFF"/>
        <rFont val="Noto Sans CJK SC"/>
        <family val="2"/>
      </rPr>
      <t xml:space="preserve">プロフィール</t>
    </r>
  </si>
  <si>
    <r>
      <rPr>
        <b val="true"/>
        <sz val="10"/>
        <color rgb="FFFFFFFF"/>
        <rFont val="Yu Gothic"/>
        <family val="0"/>
        <charset val="1"/>
      </rPr>
      <t xml:space="preserve">37 </t>
    </r>
    <r>
      <rPr>
        <b val="true"/>
        <sz val="10"/>
        <color rgb="FFFFFFFF"/>
        <rFont val="Noto Sans CJK SC"/>
        <family val="2"/>
      </rPr>
      <t xml:space="preserve">新人</t>
    </r>
    <r>
      <rPr>
        <b val="true"/>
        <sz val="10"/>
        <color rgb="FFFFFFFF"/>
        <rFont val="Yu Gothic"/>
        <family val="0"/>
        <charset val="1"/>
      </rPr>
      <t xml:space="preserve">B </t>
    </r>
    <r>
      <rPr>
        <b val="true"/>
        <sz val="10"/>
        <color rgb="FFFFFFFF"/>
        <rFont val="Noto Sans CJK SC"/>
        <family val="2"/>
      </rPr>
      <t xml:space="preserve">プロフィール</t>
    </r>
  </si>
  <si>
    <t xml:space="preserve">掲載先：新入社員座談会／トップ</t>
  </si>
  <si>
    <r>
      <rPr>
        <b val="true"/>
        <sz val="10"/>
        <color rgb="FFFFFFFF"/>
        <rFont val="Yu Gothic"/>
        <family val="0"/>
        <charset val="1"/>
      </rPr>
      <t xml:space="preserve">38 </t>
    </r>
    <r>
      <rPr>
        <b val="true"/>
        <sz val="10"/>
        <color rgb="FFFFFFFF"/>
        <rFont val="Noto Sans CJK SC"/>
        <family val="2"/>
      </rPr>
      <t xml:space="preserve">新人</t>
    </r>
    <r>
      <rPr>
        <b val="true"/>
        <sz val="10"/>
        <color rgb="FFFFFFFF"/>
        <rFont val="Yu Gothic"/>
        <family val="0"/>
        <charset val="1"/>
      </rPr>
      <t xml:space="preserve">C </t>
    </r>
    <r>
      <rPr>
        <b val="true"/>
        <sz val="10"/>
        <color rgb="FFFFFFFF"/>
        <rFont val="Noto Sans CJK SC"/>
        <family val="2"/>
      </rPr>
      <t xml:space="preserve">プロフィール</t>
    </r>
  </si>
  <si>
    <r>
      <rPr>
        <b val="true"/>
        <sz val="10"/>
        <color rgb="FFFFFFFF"/>
        <rFont val="Yu Gothic"/>
        <family val="0"/>
        <charset val="1"/>
      </rPr>
      <t xml:space="preserve">39 </t>
    </r>
    <r>
      <rPr>
        <b val="true"/>
        <sz val="10"/>
        <color rgb="FFFFFFFF"/>
        <rFont val="Noto Sans CJK SC"/>
        <family val="2"/>
      </rPr>
      <t xml:space="preserve">先輩と新人が部品を確認</t>
    </r>
  </si>
  <si>
    <r>
      <rPr>
        <b val="true"/>
        <sz val="10"/>
        <color rgb="FFFFFFFF"/>
        <rFont val="Yu Gothic"/>
        <family val="0"/>
        <charset val="1"/>
      </rPr>
      <t xml:space="preserve">40 </t>
    </r>
    <r>
      <rPr>
        <b val="true"/>
        <sz val="10"/>
        <color rgb="FFFFFFFF"/>
        <rFont val="Noto Sans CJK SC"/>
        <family val="2"/>
      </rPr>
      <t xml:space="preserve">先輩の説明を聞く新人</t>
    </r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人</t>
    </r>
  </si>
  <si>
    <r>
      <rPr>
        <sz val="10"/>
        <color rgb="FF4A5468"/>
        <rFont val="Noto Sans CJK SC"/>
        <family val="2"/>
      </rPr>
      <t xml:space="preserve">掲載先：新卒採用（</t>
    </r>
    <r>
      <rPr>
        <sz val="10"/>
        <color rgb="FF4A5468"/>
        <rFont val="Yu Gothic"/>
        <family val="0"/>
        <charset val="1"/>
      </rPr>
      <t xml:space="preserve">FV</t>
    </r>
    <r>
      <rPr>
        <sz val="10"/>
        <color rgb="FF4A5468"/>
        <rFont val="Noto Sans CJK SC"/>
        <family val="2"/>
      </rPr>
      <t xml:space="preserve">）</t>
    </r>
  </si>
  <si>
    <r>
      <rPr>
        <b val="true"/>
        <sz val="10"/>
        <color rgb="FFFFFFFF"/>
        <rFont val="Yu Gothic"/>
        <family val="0"/>
        <charset val="1"/>
      </rPr>
      <t xml:space="preserve">41 </t>
    </r>
    <r>
      <rPr>
        <b val="true"/>
        <sz val="10"/>
        <color rgb="FFFFFFFF"/>
        <rFont val="Noto Sans CJK SC"/>
        <family val="2"/>
      </rPr>
      <t xml:space="preserve">マイクロメータで測る中途入社の社員</t>
    </r>
  </si>
  <si>
    <r>
      <rPr>
        <sz val="10"/>
        <color rgb="FF4A5468"/>
        <rFont val="Noto Sans CJK SC"/>
        <family val="2"/>
      </rPr>
      <t xml:space="preserve">掲載先：中途採用（</t>
    </r>
    <r>
      <rPr>
        <sz val="10"/>
        <color rgb="FF4A5468"/>
        <rFont val="Yu Gothic"/>
        <family val="0"/>
        <charset val="1"/>
      </rPr>
      <t xml:space="preserve">FV</t>
    </r>
    <r>
      <rPr>
        <sz val="10"/>
        <color rgb="FF4A5468"/>
        <rFont val="Noto Sans CJK SC"/>
        <family val="2"/>
      </rPr>
      <t xml:space="preserve">）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</si>
</sst>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$-411]m/d\（AAA\）"/>
    <numFmt numFmtId="166" formatCode="0\件"/>
    <numFmt numFmtId="167" formatCode="0%"/>
    <numFmt numFmtId="168" formatCode="d"/>
    <numFmt numFmtId="169" formatCode="m/d"/>
    <numFmt numFmtId="170" formatCode="[$-411]yyyy/m/d\（AAA\）"/>
    <numFmt numFmtId="171" formatCode="m/d\〜"/>
    <numFmt numFmtId="172" formatCode="@"/>
    <numFmt numFmtId="173" formatCode="h:mm"/>
    <numFmt numFmtId="174" formatCode="General"/>
  </numFmts>
  <fonts count="5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9CB6F5"/>
      <name val="Yu Gothic"/>
      <family val="0"/>
      <charset val="1"/>
    </font>
    <font>
      <b val="true"/>
      <sz val="26"/>
      <color rgb="FFFFFFFF"/>
      <name val="Noto Sans CJK SC"/>
      <family val="2"/>
    </font>
    <font>
      <sz val="11"/>
      <color rgb="FFD9DCE4"/>
      <name val="Noto Sans CJK SC"/>
      <family val="2"/>
    </font>
    <font>
      <sz val="11"/>
      <color rgb="FFD9DCE4"/>
      <name val="Yu Gothic"/>
      <family val="0"/>
      <charset val="1"/>
    </font>
    <font>
      <b val="true"/>
      <sz val="12"/>
      <color rgb="FFFFFFFF"/>
      <name val="Noto Sans CJK SC"/>
      <family val="2"/>
    </font>
    <font>
      <b val="true"/>
      <sz val="13"/>
      <color rgb="FF0F1B3A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1"/>
      <color rgb="FF0F1B3A"/>
      <name val="Noto Sans CJK SC"/>
      <family val="2"/>
    </font>
    <font>
      <b val="true"/>
      <sz val="11"/>
      <color rgb="FF0F1B3A"/>
      <name val="Yu Gothic"/>
      <family val="0"/>
      <charset val="1"/>
    </font>
    <font>
      <sz val="11"/>
      <color rgb="FF0F1B3A"/>
      <name val="Noto Sans CJK SC"/>
      <family val="2"/>
    </font>
    <font>
      <sz val="11"/>
      <color rgb="FF0F1B3A"/>
      <name val="Yu Gothic"/>
      <family val="0"/>
      <charset val="1"/>
    </font>
    <font>
      <b val="true"/>
      <sz val="12"/>
      <color rgb="FF0F1B3A"/>
      <name val="Noto Sans CJK SC"/>
      <family val="2"/>
    </font>
    <font>
      <b val="true"/>
      <sz val="18"/>
      <color rgb="FF0F1B3A"/>
      <name val="Yu Gothic"/>
      <family val="0"/>
      <charset val="1"/>
    </font>
    <font>
      <sz val="9"/>
      <color rgb="FF4A5468"/>
      <name val="Noto Sans CJK SC"/>
      <family val="2"/>
    </font>
    <font>
      <b val="true"/>
      <u val="single"/>
      <sz val="11"/>
      <color rgb="FF1F4FA8"/>
      <name val="Noto Sans CJK SC"/>
      <family val="2"/>
    </font>
    <font>
      <sz val="10.5"/>
      <color rgb="FF4A5468"/>
      <name val="Noto Sans CJK SC"/>
      <family val="2"/>
    </font>
    <font>
      <sz val="10.5"/>
      <color rgb="FF4A5468"/>
      <name val="Yu Gothic"/>
      <family val="0"/>
      <charset val="1"/>
    </font>
    <font>
      <b val="true"/>
      <sz val="10"/>
      <color rgb="FF0F1B3A"/>
      <name val="Noto Sans CJK SC"/>
      <family val="2"/>
    </font>
    <font>
      <sz val="9"/>
      <color rgb="FF4A5468"/>
      <name val="Yu Gothic"/>
      <family val="0"/>
      <charset val="1"/>
    </font>
    <font>
      <b val="true"/>
      <sz val="18"/>
      <color rgb="FF0F1B3A"/>
      <name val="Noto Sans CJK SC"/>
      <family val="2"/>
    </font>
    <font>
      <sz val="9.5"/>
      <color rgb="FF4A5468"/>
      <name val="Noto Sans CJK SC"/>
      <family val="2"/>
    </font>
    <font>
      <b val="true"/>
      <sz val="9.5"/>
      <color rgb="FFFFFFFF"/>
      <name val="Noto Sans CJK SC"/>
      <family val="2"/>
    </font>
    <font>
      <b val="true"/>
      <sz val="9.5"/>
      <color rgb="FFC0392B"/>
      <name val="Noto Sans CJK SC"/>
      <family val="2"/>
    </font>
    <font>
      <sz val="9.5"/>
      <color rgb="FF4A5468"/>
      <name val="Yu Gothic"/>
      <family val="0"/>
      <charset val="1"/>
    </font>
    <font>
      <b val="true"/>
      <sz val="10"/>
      <color rgb="FFFFFFFF"/>
      <name val="Yu Gothic"/>
      <family val="0"/>
      <charset val="1"/>
    </font>
    <font>
      <b val="true"/>
      <sz val="9"/>
      <color rgb="FF0F1B3A"/>
      <name val="Yu Gothic"/>
      <family val="0"/>
      <charset val="1"/>
    </font>
    <font>
      <b val="true"/>
      <sz val="10"/>
      <color rgb="FFE2442F"/>
      <name val="Noto Sans CJK SC"/>
      <family val="2"/>
    </font>
    <font>
      <b val="true"/>
      <sz val="9"/>
      <color rgb="FFE2442F"/>
      <name val="Yu Gothic"/>
      <family val="0"/>
      <charset val="1"/>
    </font>
    <font>
      <b val="true"/>
      <sz val="10.5"/>
      <color rgb="FF0F1B3A"/>
      <name val="Yu Gothic"/>
      <family val="0"/>
      <charset val="1"/>
    </font>
    <font>
      <b val="true"/>
      <sz val="10.5"/>
      <color rgb="FF0F1B3A"/>
      <name val="Noto Sans CJK SC"/>
      <family val="2"/>
    </font>
    <font>
      <sz val="8"/>
      <color rgb="FFE4E6EC"/>
      <name val="Yu Gothic"/>
      <family val="0"/>
      <charset val="1"/>
    </font>
    <font>
      <b val="true"/>
      <sz val="10"/>
      <color rgb="FF0F1B3A"/>
      <name val="Yu Gothic"/>
      <family val="0"/>
      <charset val="1"/>
    </font>
    <font>
      <sz val="10"/>
      <color rgb="FF0F1B3A"/>
      <name val="Noto Sans CJK SC"/>
      <family val="2"/>
    </font>
    <font>
      <b val="true"/>
      <sz val="9"/>
      <color rgb="FF4A5468"/>
      <name val="Noto Sans CJK SC"/>
      <family val="2"/>
    </font>
    <font>
      <sz val="10"/>
      <color rgb="FF0F1B3A"/>
      <name val="Yu Gothic"/>
      <family val="0"/>
      <charset val="1"/>
    </font>
    <font>
      <b val="true"/>
      <sz val="10"/>
      <color rgb="FFC0392B"/>
      <name val="Yu Gothic"/>
      <family val="0"/>
      <charset val="1"/>
    </font>
    <font>
      <b val="true"/>
      <sz val="9"/>
      <color rgb="FFC0392B"/>
      <name val="Yu Gothic"/>
      <family val="0"/>
      <charset val="1"/>
    </font>
    <font>
      <sz val="10"/>
      <color rgb="FF4A5468"/>
      <name val="Noto Sans CJK SC"/>
      <family val="2"/>
    </font>
    <font>
      <sz val="10"/>
      <color rgb="FF4A5468"/>
      <name val="Yu Gothic"/>
      <family val="0"/>
      <charset val="1"/>
    </font>
    <font>
      <sz val="11"/>
      <color rgb="FF263238"/>
      <name val="Yu Gothic"/>
      <family val="0"/>
      <charset val="1"/>
    </font>
    <font>
      <b val="true"/>
      <sz val="12"/>
      <color rgb="FF0F1B3A"/>
      <name val="Yu Gothic"/>
      <family val="0"/>
      <charset val="1"/>
    </font>
    <font>
      <b val="true"/>
      <sz val="12"/>
      <color rgb="FFE2442F"/>
      <name val="Yu Gothic"/>
      <family val="0"/>
      <charset val="1"/>
    </font>
    <font>
      <sz val="10.5"/>
      <color rgb="FF0F1B3A"/>
      <name val="Noto Sans CJK SC"/>
      <family val="2"/>
    </font>
    <font>
      <sz val="10.5"/>
      <color rgb="FF0F1B3A"/>
      <name val="Yu Gothic"/>
      <family val="0"/>
      <charset val="1"/>
    </font>
    <font>
      <sz val="9"/>
      <color rgb="FFFFFFFF"/>
      <name val="Yu Gothic"/>
      <family val="0"/>
      <charset val="1"/>
    </font>
    <font>
      <b val="true"/>
      <sz val="10"/>
      <color rgb="FF4A5468"/>
      <name val="Yu Gothic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F1B3A"/>
        <bgColor rgb="FF263238"/>
      </patternFill>
    </fill>
    <fill>
      <patternFill patternType="solid">
        <fgColor rgb="FF1F4FD1"/>
        <bgColor rgb="FF1F4FA8"/>
      </patternFill>
    </fill>
    <fill>
      <patternFill patternType="solid">
        <fgColor rgb="FFE2442F"/>
        <bgColor rgb="FFC0392B"/>
      </patternFill>
    </fill>
    <fill>
      <patternFill patternType="solid">
        <fgColor rgb="FFDCE6FB"/>
        <bgColor rgb="FFDCE6F7"/>
      </patternFill>
    </fill>
    <fill>
      <patternFill patternType="solid">
        <fgColor rgb="FFFFF1C9"/>
        <bgColor rgb="FFFDECEA"/>
      </patternFill>
    </fill>
    <fill>
      <patternFill patternType="solid">
        <fgColor rgb="FFFFFFFF"/>
        <bgColor rgb="FFFAFAF7"/>
      </patternFill>
    </fill>
    <fill>
      <patternFill patternType="solid">
        <fgColor rgb="FFFDECEA"/>
        <bgColor rgb="FFF3F2EE"/>
      </patternFill>
    </fill>
    <fill>
      <patternFill patternType="solid">
        <fgColor rgb="FF2D3A57"/>
        <bgColor rgb="FF263238"/>
      </patternFill>
    </fill>
    <fill>
      <patternFill patternType="solid">
        <fgColor rgb="FFEEEFEB"/>
        <bgColor rgb="FFEEEFF2"/>
      </patternFill>
    </fill>
    <fill>
      <patternFill patternType="solid">
        <fgColor rgb="FFE4E6EC"/>
        <bgColor rgb="FFE6E6E1"/>
      </patternFill>
    </fill>
    <fill>
      <patternFill patternType="solid">
        <fgColor rgb="FFFAFAF7"/>
        <bgColor rgb="FFF7F7F4"/>
      </patternFill>
    </fill>
    <fill>
      <patternFill patternType="solid">
        <fgColor rgb="FFF7F7F4"/>
        <bgColor rgb="FFFAFAF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ck">
        <color rgb="FF1F4FD1"/>
      </left>
      <right/>
      <top/>
      <bottom/>
      <diagonal/>
    </border>
    <border diagonalUp="false" diagonalDown="false">
      <left/>
      <right style="thin">
        <color rgb="FF2D3A57"/>
      </right>
      <top/>
      <bottom/>
      <diagonal/>
    </border>
    <border diagonalUp="false" diagonalDown="false">
      <left/>
      <right/>
      <top/>
      <bottom style="thin">
        <color rgb="FFD3D6DB"/>
      </bottom>
      <diagonal/>
    </border>
    <border diagonalUp="false" diagonalDown="false">
      <left style="thin">
        <color rgb="FFD3D6DB"/>
      </left>
      <right/>
      <top style="thin">
        <color rgb="FFD3D6DB"/>
      </top>
      <bottom style="thin">
        <color rgb="FFD3D6DB"/>
      </bottom>
      <diagonal/>
    </border>
    <border diagonalUp="false" diagonalDown="false">
      <left/>
      <right style="thin">
        <color rgb="FFE6E6E1"/>
      </right>
      <top/>
      <bottom/>
      <diagonal/>
    </border>
    <border diagonalUp="false" diagonalDown="false">
      <left/>
      <right style="thin">
        <color rgb="FFE6E6E1"/>
      </right>
      <top/>
      <bottom style="thin">
        <color rgb="FFD3D6DB"/>
      </bottom>
      <diagonal/>
    </border>
    <border diagonalUp="false" diagonalDown="false">
      <left/>
      <right/>
      <top style="thin">
        <color rgb="FFB9BDC8"/>
      </top>
      <bottom/>
      <diagonal/>
    </border>
    <border diagonalUp="false" diagonalDown="false">
      <left/>
      <right style="thin">
        <color rgb="FFECECE8"/>
      </right>
      <top style="thin">
        <color rgb="FFB9BDC8"/>
      </top>
      <bottom/>
      <diagonal/>
    </border>
    <border diagonalUp="false" diagonalDown="false">
      <left/>
      <right style="thin">
        <color rgb="FFECECE8"/>
      </right>
      <top/>
      <bottom style="thin">
        <color rgb="FFECECE8"/>
      </bottom>
      <diagonal/>
    </border>
    <border diagonalUp="false" diagonalDown="false">
      <left/>
      <right/>
      <top/>
      <bottom style="thin">
        <color rgb="FFE98235"/>
      </bottom>
      <diagonal/>
    </border>
    <border diagonalUp="false" diagonalDown="false">
      <left/>
      <right/>
      <top/>
      <bottom style="medium">
        <color rgb="FF1F4FD1"/>
      </bottom>
      <diagonal/>
    </border>
    <border diagonalUp="false" diagonalDown="false">
      <left/>
      <right style="thin">
        <color rgb="FFECECE8"/>
      </right>
      <top/>
      <bottom style="thin">
        <color rgb="FFD3D6DB"/>
      </bottom>
      <diagonal/>
    </border>
    <border diagonalUp="false" diagonalDown="false">
      <left style="thick">
        <color rgb="FF0F1B3A"/>
      </left>
      <right/>
      <top/>
      <bottom style="thin">
        <color rgb="FFD3D6DB"/>
      </bottom>
      <diagonal/>
    </border>
    <border diagonalUp="false" diagonalDown="false">
      <left style="thick">
        <color rgb="FF1F4FD1"/>
      </left>
      <right/>
      <top style="medium">
        <color rgb="FF0F1B3A"/>
      </top>
      <bottom style="thin">
        <color rgb="FFD3D6DB"/>
      </bottom>
      <diagonal/>
    </border>
    <border diagonalUp="false" diagonalDown="false">
      <left/>
      <right/>
      <top style="medium">
        <color rgb="FF0F1B3A"/>
      </top>
      <bottom style="thin">
        <color rgb="FFD3D6DB"/>
      </bottom>
      <diagonal/>
    </border>
    <border diagonalUp="false" diagonalDown="false">
      <left style="thick">
        <color rgb="FF1F4FD1"/>
      </left>
      <right/>
      <top/>
      <bottom style="thin">
        <color rgb="FFD3D6DB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5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8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0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2" fillId="1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3" fillId="11" borderId="7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5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3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0" borderId="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9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0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4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0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5" fillId="6" borderId="1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1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3" fillId="1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1" fontId="23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8" fillId="6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3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33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3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1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0" fillId="10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3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43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1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3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8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8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10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3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43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1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1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3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10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8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1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9">
    <dxf>
      <fill>
        <patternFill>
          <bgColor rgb="FFFDECEA"/>
        </patternFill>
      </fill>
    </dxf>
    <dxf>
      <fill>
        <patternFill>
          <bgColor rgb="FFB9BDC8"/>
        </patternFill>
      </fill>
    </dxf>
    <dxf>
      <font>
        <b val="1"/>
        <color rgb="FFFFFFFF"/>
      </font>
      <fill>
        <patternFill>
          <bgColor rgb="FFE2442F"/>
        </patternFill>
      </fill>
    </dxf>
    <dxf>
      <font>
        <b val="1"/>
        <color rgb="FFFFFFFF"/>
      </font>
      <fill>
        <patternFill>
          <bgColor rgb="FF1F4FD1"/>
        </patternFill>
      </fill>
    </dxf>
    <dxf>
      <font>
        <b val="1"/>
        <color rgb="FFFFFFFF"/>
      </font>
      <fill>
        <patternFill>
          <bgColor rgb="FF0F1B3A"/>
        </patternFill>
      </fill>
    </dxf>
    <dxf>
      <fill>
        <patternFill>
          <bgColor rgb="FFDCE6FB"/>
        </patternFill>
      </fill>
    </dxf>
    <dxf>
      <fill>
        <patternFill>
          <bgColor rgb="FFF3F2EE"/>
        </patternFill>
      </fill>
    </dxf>
    <dxf>
      <font>
        <b val="1"/>
        <color rgb="FFFFFFFF"/>
      </font>
      <fill>
        <patternFill>
          <bgColor rgb="FFC0392B"/>
        </patternFill>
      </fill>
    </dxf>
    <dxf>
      <font>
        <color rgb="FF8A90A0"/>
      </font>
      <fill>
        <patternFill>
          <bgColor rgb="FFEEEFEB"/>
        </patternFill>
      </fill>
    </dxf>
    <dxf>
      <font>
        <name val="Yu Gothic"/>
        <charset val="1"/>
        <family val="0"/>
        <b val="1"/>
        <color rgb="FF5B6375"/>
      </font>
      <fill>
        <patternFill>
          <bgColor rgb="FFEEEFF2"/>
        </patternFill>
      </fill>
    </dxf>
    <dxf>
      <font>
        <name val="Yu Gothic"/>
        <charset val="1"/>
        <family val="0"/>
        <b val="1"/>
        <color rgb="FF1F4FA8"/>
      </font>
      <fill>
        <patternFill>
          <bgColor rgb="FFDCE6F7"/>
        </patternFill>
      </fill>
    </dxf>
    <dxf>
      <font>
        <name val="Yu Gothic"/>
        <charset val="1"/>
        <family val="0"/>
        <b val="1"/>
        <color rgb="FF16348F"/>
      </font>
      <fill>
        <patternFill>
          <bgColor rgb="FFDCE6FB"/>
        </patternFill>
      </fill>
    </dxf>
    <dxf>
      <font>
        <name val="Yu Gothic"/>
        <charset val="1"/>
        <family val="0"/>
        <b val="1"/>
        <color rgb="FF2E6B34"/>
      </font>
      <fill>
        <patternFill>
          <bgColor rgb="FFE1EFDF"/>
        </patternFill>
      </fill>
    </dxf>
    <dxf>
      <font>
        <name val="Yu Gothic"/>
        <charset val="1"/>
        <family val="0"/>
        <b val="1"/>
        <color rgb="FFC0392B"/>
      </font>
      <fill>
        <patternFill>
          <bgColor rgb="FFFBE0DC"/>
        </patternFill>
      </fill>
    </dxf>
    <dxf>
      <font>
        <b val="1"/>
        <color rgb="FF16348F"/>
      </font>
      <fill>
        <patternFill>
          <bgColor rgb="FFDCE6FB"/>
        </patternFill>
      </fill>
    </dxf>
    <dxf>
      <font>
        <b val="1"/>
        <color rgb="FFE2442F"/>
      </font>
    </dxf>
    <dxf>
      <font>
        <color rgb="FF1F4FD1"/>
      </font>
      <fill>
        <patternFill>
          <bgColor rgb="FF1F4FD1"/>
        </patternFill>
      </fill>
    </dxf>
    <dxf>
      <font>
        <color rgb="FFE2442F"/>
      </font>
      <fill>
        <patternFill>
          <bgColor rgb="FFE2442F"/>
        </patternFill>
      </fill>
    </dxf>
    <dxf>
      <font>
        <color rgb="FF0F1B3A"/>
      </font>
      <fill>
        <patternFill>
          <bgColor rgb="FF0F1B3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CECE8"/>
      <rgbColor rgb="FFFF00FF"/>
      <rgbColor rgb="FF00FFFF"/>
      <rgbColor rgb="FF800000"/>
      <rgbColor rgb="FF2E6B34"/>
      <rgbColor rgb="FF000080"/>
      <rgbColor rgb="FF808000"/>
      <rgbColor rgb="FF800080"/>
      <rgbColor rgb="FF008080"/>
      <rgbColor rgb="FFB9BDC8"/>
      <rgbColor rgb="FF7A869E"/>
      <rgbColor rgb="FFE4E6EC"/>
      <rgbColor rgb="FF4A5468"/>
      <rgbColor rgb="FFFFF1C9"/>
      <rgbColor rgb="FFDCE6FB"/>
      <rgbColor rgb="FF660066"/>
      <rgbColor rgb="FFE98235"/>
      <rgbColor rgb="FF1F4FD1"/>
      <rgbColor rgb="FFD3D6DB"/>
      <rgbColor rgb="FF000080"/>
      <rgbColor rgb="FFFF00FF"/>
      <rgbColor rgb="FFEEEFEB"/>
      <rgbColor rgb="FF00FFFF"/>
      <rgbColor rgb="FF800080"/>
      <rgbColor rgb="FF800000"/>
      <rgbColor rgb="FF008080"/>
      <rgbColor rgb="FF0000FF"/>
      <rgbColor rgb="FF00CCFF"/>
      <rgbColor rgb="FFDCE6F7"/>
      <rgbColor rgb="FFE1EFDF"/>
      <rgbColor rgb="FFFDECEA"/>
      <rgbColor rgb="FF9CB6F5"/>
      <rgbColor rgb="FFE6E6E1"/>
      <rgbColor rgb="FFD9DCE4"/>
      <rgbColor rgb="FFFBE0DC"/>
      <rgbColor rgb="FF1F4FA8"/>
      <rgbColor rgb="FFFAFAF7"/>
      <rgbColor rgb="FFEEEFF2"/>
      <rgbColor rgb="FFF3F2EE"/>
      <rgbColor rgb="FFF7F7F4"/>
      <rgbColor rgb="FFE2442F"/>
      <rgbColor rgb="FF5B6375"/>
      <rgbColor rgb="FF8A90A0"/>
      <rgbColor rgb="FF0F1B3A"/>
      <rgbColor rgb="FF339966"/>
      <rgbColor rgb="FF003300"/>
      <rgbColor rgb="FF2D3A57"/>
      <rgbColor rgb="FFC0392B"/>
      <rgbColor rgb="FF993366"/>
      <rgbColor rgb="FF16348F"/>
      <rgbColor rgb="FF26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2</xdr:col>
      <xdr:colOff>1914120</xdr:colOff>
      <xdr:row>13</xdr:row>
      <xdr:rowOff>285480</xdr:rowOff>
    </xdr:to>
    <xdr:pic>
      <xdr:nvPicPr>
        <xdr:cNvPr id="2" name="Picture 1" descr="Picture"/>
        <xdr:cNvPicPr/>
      </xdr:nvPicPr>
      <xdr:blipFill>
        <a:blip r:embed="rId1"/>
        <a:stretch/>
      </xdr:blipFill>
      <xdr:spPr>
        <a:xfrm>
          <a:off x="0" y="386712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2</xdr:col>
      <xdr:colOff>1914120</xdr:colOff>
      <xdr:row>23</xdr:row>
      <xdr:rowOff>285120</xdr:rowOff>
    </xdr:to>
    <xdr:pic>
      <xdr:nvPicPr>
        <xdr:cNvPr id="3" name="Picture 2" descr="Picture"/>
        <xdr:cNvPicPr/>
      </xdr:nvPicPr>
      <xdr:blipFill>
        <a:blip r:embed="rId2"/>
        <a:stretch/>
      </xdr:blipFill>
      <xdr:spPr>
        <a:xfrm>
          <a:off x="0" y="1091556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2</xdr:col>
      <xdr:colOff>1914120</xdr:colOff>
      <xdr:row>33</xdr:row>
      <xdr:rowOff>285120</xdr:rowOff>
    </xdr:to>
    <xdr:pic>
      <xdr:nvPicPr>
        <xdr:cNvPr id="4" name="Picture 3" descr="Picture"/>
        <xdr:cNvPicPr/>
      </xdr:nvPicPr>
      <xdr:blipFill>
        <a:blip r:embed="rId3"/>
        <a:stretch/>
      </xdr:blipFill>
      <xdr:spPr>
        <a:xfrm>
          <a:off x="0" y="1796400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2</xdr:col>
      <xdr:colOff>1914120</xdr:colOff>
      <xdr:row>43</xdr:row>
      <xdr:rowOff>285480</xdr:rowOff>
    </xdr:to>
    <xdr:pic>
      <xdr:nvPicPr>
        <xdr:cNvPr id="5" name="Picture 4" descr="Picture"/>
        <xdr:cNvPicPr/>
      </xdr:nvPicPr>
      <xdr:blipFill>
        <a:blip r:embed="rId4"/>
        <a:stretch/>
      </xdr:blipFill>
      <xdr:spPr>
        <a:xfrm>
          <a:off x="0" y="2501280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2</xdr:col>
      <xdr:colOff>1914120</xdr:colOff>
      <xdr:row>53</xdr:row>
      <xdr:rowOff>285480</xdr:rowOff>
    </xdr:to>
    <xdr:pic>
      <xdr:nvPicPr>
        <xdr:cNvPr id="6" name="Picture 5" descr="Picture"/>
        <xdr:cNvPicPr/>
      </xdr:nvPicPr>
      <xdr:blipFill>
        <a:blip r:embed="rId5"/>
        <a:stretch/>
      </xdr:blipFill>
      <xdr:spPr>
        <a:xfrm>
          <a:off x="0" y="3206124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2</xdr:col>
      <xdr:colOff>1914120</xdr:colOff>
      <xdr:row>63</xdr:row>
      <xdr:rowOff>285480</xdr:rowOff>
    </xdr:to>
    <xdr:pic>
      <xdr:nvPicPr>
        <xdr:cNvPr id="7" name="Picture 6" descr="Picture"/>
        <xdr:cNvPicPr/>
      </xdr:nvPicPr>
      <xdr:blipFill>
        <a:blip r:embed="rId6"/>
        <a:stretch/>
      </xdr:blipFill>
      <xdr:spPr>
        <a:xfrm>
          <a:off x="0" y="3910968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2</xdr:col>
      <xdr:colOff>1914120</xdr:colOff>
      <xdr:row>73</xdr:row>
      <xdr:rowOff>285480</xdr:rowOff>
    </xdr:to>
    <xdr:pic>
      <xdr:nvPicPr>
        <xdr:cNvPr id="8" name="Picture 7" descr="Picture"/>
        <xdr:cNvPicPr/>
      </xdr:nvPicPr>
      <xdr:blipFill>
        <a:blip r:embed="rId7"/>
        <a:stretch/>
      </xdr:blipFill>
      <xdr:spPr>
        <a:xfrm>
          <a:off x="0" y="4615812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2</xdr:col>
      <xdr:colOff>1914120</xdr:colOff>
      <xdr:row>83</xdr:row>
      <xdr:rowOff>285120</xdr:rowOff>
    </xdr:to>
    <xdr:pic>
      <xdr:nvPicPr>
        <xdr:cNvPr id="9" name="Picture 8" descr="Picture"/>
        <xdr:cNvPicPr/>
      </xdr:nvPicPr>
      <xdr:blipFill>
        <a:blip r:embed="rId8"/>
        <a:stretch/>
      </xdr:blipFill>
      <xdr:spPr>
        <a:xfrm>
          <a:off x="0" y="5320656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2</xdr:col>
      <xdr:colOff>1914120</xdr:colOff>
      <xdr:row>93</xdr:row>
      <xdr:rowOff>285120</xdr:rowOff>
    </xdr:to>
    <xdr:pic>
      <xdr:nvPicPr>
        <xdr:cNvPr id="10" name="Picture 9" descr="Picture"/>
        <xdr:cNvPicPr/>
      </xdr:nvPicPr>
      <xdr:blipFill>
        <a:blip r:embed="rId9"/>
        <a:stretch/>
      </xdr:blipFill>
      <xdr:spPr>
        <a:xfrm>
          <a:off x="0" y="6025500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2</xdr:col>
      <xdr:colOff>1914120</xdr:colOff>
      <xdr:row>103</xdr:row>
      <xdr:rowOff>285480</xdr:rowOff>
    </xdr:to>
    <xdr:pic>
      <xdr:nvPicPr>
        <xdr:cNvPr id="11" name="Picture 10" descr="Picture"/>
        <xdr:cNvPicPr/>
      </xdr:nvPicPr>
      <xdr:blipFill>
        <a:blip r:embed="rId10"/>
        <a:stretch/>
      </xdr:blipFill>
      <xdr:spPr>
        <a:xfrm>
          <a:off x="0" y="6730380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2</xdr:col>
      <xdr:colOff>1914120</xdr:colOff>
      <xdr:row>113</xdr:row>
      <xdr:rowOff>285480</xdr:rowOff>
    </xdr:to>
    <xdr:pic>
      <xdr:nvPicPr>
        <xdr:cNvPr id="12" name="Picture 11" descr="Picture"/>
        <xdr:cNvPicPr/>
      </xdr:nvPicPr>
      <xdr:blipFill>
        <a:blip r:embed="rId11"/>
        <a:stretch/>
      </xdr:blipFill>
      <xdr:spPr>
        <a:xfrm>
          <a:off x="0" y="7435224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2</xdr:col>
      <xdr:colOff>1914120</xdr:colOff>
      <xdr:row>123</xdr:row>
      <xdr:rowOff>285480</xdr:rowOff>
    </xdr:to>
    <xdr:pic>
      <xdr:nvPicPr>
        <xdr:cNvPr id="13" name="Picture 12" descr="Picture"/>
        <xdr:cNvPicPr/>
      </xdr:nvPicPr>
      <xdr:blipFill>
        <a:blip r:embed="rId12"/>
        <a:stretch/>
      </xdr:blipFill>
      <xdr:spPr>
        <a:xfrm>
          <a:off x="0" y="8140068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2</xdr:col>
      <xdr:colOff>1914120</xdr:colOff>
      <xdr:row>133</xdr:row>
      <xdr:rowOff>285480</xdr:rowOff>
    </xdr:to>
    <xdr:pic>
      <xdr:nvPicPr>
        <xdr:cNvPr id="14" name="Picture 13" descr="Picture"/>
        <xdr:cNvPicPr/>
      </xdr:nvPicPr>
      <xdr:blipFill>
        <a:blip r:embed="rId13"/>
        <a:stretch/>
      </xdr:blipFill>
      <xdr:spPr>
        <a:xfrm>
          <a:off x="0" y="8844912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2</xdr:col>
      <xdr:colOff>1914120</xdr:colOff>
      <xdr:row>143</xdr:row>
      <xdr:rowOff>285120</xdr:rowOff>
    </xdr:to>
    <xdr:pic>
      <xdr:nvPicPr>
        <xdr:cNvPr id="15" name="Picture 14" descr="Picture"/>
        <xdr:cNvPicPr/>
      </xdr:nvPicPr>
      <xdr:blipFill>
        <a:blip r:embed="rId14"/>
        <a:stretch/>
      </xdr:blipFill>
      <xdr:spPr>
        <a:xfrm>
          <a:off x="0" y="9549756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2</xdr:col>
      <xdr:colOff>1914120</xdr:colOff>
      <xdr:row>169</xdr:row>
      <xdr:rowOff>94680</xdr:rowOff>
    </xdr:to>
    <xdr:pic>
      <xdr:nvPicPr>
        <xdr:cNvPr id="16" name="Picture 15" descr="Picture"/>
        <xdr:cNvPicPr/>
      </xdr:nvPicPr>
      <xdr:blipFill>
        <a:blip r:embed="rId15"/>
        <a:stretch/>
      </xdr:blipFill>
      <xdr:spPr>
        <a:xfrm>
          <a:off x="0" y="102546000"/>
          <a:ext cx="6143400" cy="4095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B3A"/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34"/>
    <col collapsed="false" customWidth="true" hidden="false" outlineLevel="0" max="6" min="6" style="0" width="3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3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2" t="s">
        <v>0</v>
      </c>
      <c r="C3" s="1"/>
      <c r="D3" s="1"/>
      <c r="E3" s="1"/>
      <c r="F3" s="1"/>
      <c r="G3" s="1"/>
      <c r="H3" s="1"/>
      <c r="I3" s="1"/>
    </row>
    <row r="4" customFormat="false" ht="43.5" hidden="false" customHeight="true" outlineLevel="0" collapsed="false">
      <c r="A4" s="1"/>
      <c r="B4" s="3" t="s">
        <v>1</v>
      </c>
      <c r="C4" s="1"/>
      <c r="D4" s="1"/>
      <c r="E4" s="1"/>
      <c r="F4" s="1"/>
      <c r="G4" s="1"/>
      <c r="H4" s="1"/>
      <c r="I4" s="1"/>
    </row>
    <row r="5" customFormat="false" ht="17.15" hidden="false" customHeight="false" outlineLevel="0" collapsed="false">
      <c r="A5" s="1"/>
      <c r="B5" s="4" t="s">
        <v>2</v>
      </c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19.4" hidden="false" customHeight="false" outlineLevel="0" collapsed="false">
      <c r="A7" s="1"/>
      <c r="B7" s="5" t="str">
        <f aca="false">"制作期間　"&amp;TEXT(制作工程表!$B$4,"yyyy/m/d")&amp;" 〜 "&amp;TEXT(制作工程表!$H$29,"m/d")&amp;"（約11週間）"</f>
        <v>制作期間　2026/10/5 〜 12/23（約11週間）</v>
      </c>
      <c r="C7" s="1"/>
      <c r="D7" s="1"/>
      <c r="E7" s="1"/>
      <c r="F7" s="1"/>
      <c r="G7" s="1"/>
      <c r="H7" s="1"/>
      <c r="I7" s="1"/>
    </row>
    <row r="8" customFormat="false" ht="9.75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</row>
    <row r="9" customFormat="false" ht="4.5" hidden="false" customHeight="true" outlineLevel="0" collapsed="false">
      <c r="A9" s="6"/>
      <c r="B9" s="6"/>
      <c r="C9" s="6"/>
      <c r="D9" s="6"/>
      <c r="E9" s="6"/>
      <c r="F9" s="6"/>
      <c r="G9" s="6"/>
      <c r="H9" s="6"/>
      <c r="I9" s="6"/>
    </row>
    <row r="11" customFormat="false" ht="25.5" hidden="false" customHeight="true" outlineLevel="0" collapsed="false">
      <c r="B11" s="7" t="s">
        <v>3</v>
      </c>
      <c r="G11" s="7" t="s">
        <v>4</v>
      </c>
    </row>
    <row r="12" customFormat="false" ht="25.5" hidden="false" customHeight="true" outlineLevel="0" collapsed="false">
      <c r="B12" s="8" t="s">
        <v>5</v>
      </c>
      <c r="C12" s="8" t="s">
        <v>6</v>
      </c>
      <c r="D12" s="8" t="s">
        <v>7</v>
      </c>
      <c r="E12" s="8" t="s">
        <v>8</v>
      </c>
      <c r="G12" s="8" t="s">
        <v>9</v>
      </c>
      <c r="H12" s="8" t="s">
        <v>10</v>
      </c>
    </row>
    <row r="13" customFormat="false" ht="25.5" hidden="false" customHeight="true" outlineLevel="0" collapsed="false">
      <c r="B13" s="9" t="s">
        <v>11</v>
      </c>
      <c r="C13" s="10" t="n">
        <f aca="false">制作工程表!$B$4</f>
        <v>46300</v>
      </c>
      <c r="D13" s="11" t="s">
        <v>12</v>
      </c>
      <c r="E13" s="12" t="s">
        <v>13</v>
      </c>
      <c r="G13" s="9" t="s">
        <v>14</v>
      </c>
      <c r="H13" s="13" t="n">
        <f aca="false">COUNTA(制作工程表!$K$9:$K$29)</f>
        <v>21</v>
      </c>
    </row>
    <row r="14" customFormat="false" ht="25.5" hidden="false" customHeight="true" outlineLevel="0" collapsed="false">
      <c r="B14" s="9" t="s">
        <v>15</v>
      </c>
      <c r="C14" s="10" t="n">
        <f aca="false">制作工程表!$I$11</f>
        <v>46314</v>
      </c>
      <c r="D14" s="14" t="s">
        <v>16</v>
      </c>
      <c r="E14" s="15" t="s">
        <v>17</v>
      </c>
      <c r="G14" s="12" t="s">
        <v>18</v>
      </c>
      <c r="H14" s="16" t="n">
        <f aca="false">COUNTIF(制作工程表!$K$9:$K$29,"完了")</f>
        <v>0</v>
      </c>
    </row>
    <row r="15" customFormat="false" ht="25.5" hidden="false" customHeight="true" outlineLevel="0" collapsed="false">
      <c r="B15" s="9" t="s">
        <v>19</v>
      </c>
      <c r="C15" s="10" t="n">
        <f aca="false">制作工程表!$E$4</f>
        <v>46322</v>
      </c>
      <c r="D15" s="17" t="s">
        <v>20</v>
      </c>
      <c r="E15" s="12" t="s">
        <v>21</v>
      </c>
      <c r="G15" s="12" t="s">
        <v>22</v>
      </c>
      <c r="H15" s="16" t="n">
        <f aca="false">COUNTIF(制作工程表!$K$9:$K$29,"進行中")</f>
        <v>0</v>
      </c>
    </row>
    <row r="16" customFormat="false" ht="25.5" hidden="false" customHeight="true" outlineLevel="0" collapsed="false">
      <c r="B16" s="9" t="s">
        <v>23</v>
      </c>
      <c r="C16" s="10" t="n">
        <f aca="false">制作工程表!$H$4</f>
        <v>46323</v>
      </c>
      <c r="D16" s="17" t="s">
        <v>20</v>
      </c>
      <c r="E16" s="12" t="s">
        <v>24</v>
      </c>
      <c r="G16" s="12" t="s">
        <v>25</v>
      </c>
      <c r="H16" s="16" t="n">
        <f aca="false">COUNTIF(制作工程表!$K$9:$K$29,"確認待ち")</f>
        <v>0</v>
      </c>
    </row>
    <row r="17" customFormat="false" ht="25.5" hidden="false" customHeight="true" outlineLevel="0" collapsed="false">
      <c r="B17" s="9" t="s">
        <v>26</v>
      </c>
      <c r="C17" s="10" t="n">
        <f aca="false">制作工程表!$I$20</f>
        <v>46338</v>
      </c>
      <c r="D17" s="14" t="s">
        <v>16</v>
      </c>
      <c r="E17" s="12" t="s">
        <v>27</v>
      </c>
      <c r="G17" s="12" t="s">
        <v>28</v>
      </c>
      <c r="H17" s="16" t="n">
        <f aca="false">COUNTIF(制作工程表!$K$9:$K$29,"要調整")</f>
        <v>0</v>
      </c>
    </row>
    <row r="18" customFormat="false" ht="25.5" hidden="false" customHeight="true" outlineLevel="0" collapsed="false">
      <c r="B18" s="9" t="s">
        <v>29</v>
      </c>
      <c r="C18" s="10" t="n">
        <f aca="false">制作工程表!$I$23</f>
        <v>46345</v>
      </c>
      <c r="D18" s="14" t="s">
        <v>16</v>
      </c>
      <c r="E18" s="15" t="s">
        <v>30</v>
      </c>
      <c r="G18" s="12" t="s">
        <v>31</v>
      </c>
      <c r="H18" s="16" t="n">
        <f aca="false">COUNTIF(制作工程表!$K$9:$K$29,"未着手")</f>
        <v>21</v>
      </c>
    </row>
    <row r="19" customFormat="false" ht="31.5" hidden="false" customHeight="true" outlineLevel="0" collapsed="false">
      <c r="B19" s="9" t="s">
        <v>32</v>
      </c>
      <c r="C19" s="10" t="n">
        <f aca="false">制作工程表!$I$27</f>
        <v>46374</v>
      </c>
      <c r="D19" s="14" t="s">
        <v>16</v>
      </c>
      <c r="E19" s="12" t="s">
        <v>33</v>
      </c>
      <c r="G19" s="18" t="s">
        <v>34</v>
      </c>
      <c r="H19" s="19" t="n">
        <f aca="false">IF(H13=0,0,H14/H13)</f>
        <v>0</v>
      </c>
    </row>
    <row r="20" customFormat="false" ht="25.5" hidden="false" customHeight="true" outlineLevel="0" collapsed="false">
      <c r="B20" s="9" t="s">
        <v>35</v>
      </c>
      <c r="C20" s="10" t="n">
        <f aca="false">制作工程表!$H$29</f>
        <v>46379</v>
      </c>
      <c r="D20" s="11" t="s">
        <v>12</v>
      </c>
      <c r="E20" s="12" t="s">
        <v>36</v>
      </c>
      <c r="G20" s="20" t="s">
        <v>37</v>
      </c>
    </row>
    <row r="23" customFormat="false" ht="25.5" hidden="false" customHeight="true" outlineLevel="0" collapsed="false">
      <c r="B23" s="7" t="s">
        <v>38</v>
      </c>
    </row>
    <row r="24" customFormat="false" ht="24" hidden="false" customHeight="true" outlineLevel="0" collapsed="false">
      <c r="B24" s="21" t="s">
        <v>39</v>
      </c>
      <c r="C24" s="22" t="s">
        <v>40</v>
      </c>
      <c r="D24" s="22"/>
      <c r="E24" s="22"/>
      <c r="F24" s="22"/>
      <c r="G24" s="22"/>
      <c r="H24" s="22"/>
    </row>
    <row r="25" customFormat="false" ht="24" hidden="false" customHeight="true" outlineLevel="0" collapsed="false">
      <c r="B25" s="21" t="s">
        <v>41</v>
      </c>
      <c r="C25" s="23" t="s">
        <v>42</v>
      </c>
      <c r="D25" s="23"/>
      <c r="E25" s="23"/>
      <c r="F25" s="23"/>
      <c r="G25" s="23"/>
      <c r="H25" s="23"/>
    </row>
    <row r="26" customFormat="false" ht="24" hidden="false" customHeight="true" outlineLevel="0" collapsed="false">
      <c r="B26" s="21" t="s">
        <v>43</v>
      </c>
      <c r="C26" s="22" t="s">
        <v>44</v>
      </c>
      <c r="D26" s="22"/>
      <c r="E26" s="22"/>
      <c r="F26" s="22"/>
      <c r="G26" s="22"/>
      <c r="H26" s="22"/>
    </row>
    <row r="27" customFormat="false" ht="24" hidden="false" customHeight="true" outlineLevel="0" collapsed="false">
      <c r="B27" s="21" t="s">
        <v>45</v>
      </c>
      <c r="C27" s="22" t="s">
        <v>46</v>
      </c>
      <c r="D27" s="22"/>
      <c r="E27" s="22"/>
      <c r="F27" s="22"/>
      <c r="G27" s="22"/>
      <c r="H27" s="22"/>
    </row>
    <row r="28" customFormat="false" ht="24" hidden="false" customHeight="true" outlineLevel="0" collapsed="false">
      <c r="B28" s="21" t="s">
        <v>47</v>
      </c>
      <c r="C28" s="22" t="s">
        <v>48</v>
      </c>
      <c r="D28" s="22"/>
      <c r="E28" s="22"/>
      <c r="F28" s="22"/>
      <c r="G28" s="22"/>
      <c r="H28" s="22"/>
    </row>
    <row r="29" customFormat="false" ht="24" hidden="false" customHeight="true" outlineLevel="0" collapsed="false">
      <c r="B29" s="21" t="s">
        <v>49</v>
      </c>
      <c r="C29" s="23" t="s">
        <v>50</v>
      </c>
      <c r="D29" s="23"/>
      <c r="E29" s="23"/>
      <c r="F29" s="23"/>
      <c r="G29" s="23"/>
      <c r="H29" s="23"/>
    </row>
    <row r="30" customFormat="false" ht="24" hidden="false" customHeight="true" outlineLevel="0" collapsed="false">
      <c r="B30" s="21" t="s">
        <v>51</v>
      </c>
      <c r="C30" s="22" t="s">
        <v>52</v>
      </c>
      <c r="D30" s="22"/>
      <c r="E30" s="22"/>
      <c r="F30" s="22"/>
      <c r="G30" s="22"/>
      <c r="H30" s="22"/>
    </row>
    <row r="32" customFormat="false" ht="25.5" hidden="false" customHeight="true" outlineLevel="0" collapsed="false">
      <c r="B32" s="7" t="s">
        <v>53</v>
      </c>
    </row>
    <row r="33" customFormat="false" ht="24" hidden="false" customHeight="true" outlineLevel="0" collapsed="false">
      <c r="B33" s="24" t="s">
        <v>12</v>
      </c>
      <c r="C33" s="25" t="s">
        <v>16</v>
      </c>
      <c r="D33" s="26" t="s">
        <v>54</v>
      </c>
      <c r="E33" s="27" t="s">
        <v>55</v>
      </c>
    </row>
    <row r="35" customFormat="false" ht="15" hidden="false" customHeight="false" outlineLevel="0" collapsed="false">
      <c r="B35" s="20" t="s">
        <v>56</v>
      </c>
    </row>
  </sheetData>
  <mergeCells count="7">
    <mergeCell ref="C24:H24"/>
    <mergeCell ref="C25:H25"/>
    <mergeCell ref="C26:H26"/>
    <mergeCell ref="C27:H27"/>
    <mergeCell ref="C28:H28"/>
    <mergeCell ref="C29:H29"/>
    <mergeCell ref="C30:H30"/>
  </mergeCells>
  <hyperlinks>
    <hyperlink ref="B24" location="'スケジュール'!A1" display="スケジュール"/>
    <hyperlink ref="B25" location="'制作工程表'!A1" display="制作工程表"/>
    <hyperlink ref="B26" location="'撮影指示書'!A1" display="撮影指示書"/>
    <hyperlink ref="B27" location="'撮影香盤表'!A1" display="撮影香盤表"/>
    <hyperlink ref="B28" location="'事前準備・出演者'!A1" display="事前準備・出演者"/>
    <hyperlink ref="B29" location="'サイト構成'!A1" display="サイト構成"/>
    <hyperlink ref="B30" location="'写真カット見本'!A1" display="写真カット見本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1"/>
    <pageSetUpPr fitToPage="true"/>
  </sheetPr>
  <dimension ref="A1:CP4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7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6"/>
    <col collapsed="false" customWidth="true" hidden="false" outlineLevel="0" max="8" min="7" style="0" width="8"/>
    <col collapsed="false" customWidth="true" hidden="false" outlineLevel="0" max="9" min="9" style="0" width="9.51"/>
    <col collapsed="false" customWidth="true" hidden="false" outlineLevel="0" max="10" min="10" style="0" width="9"/>
    <col collapsed="false" customWidth="true" hidden="false" outlineLevel="0" max="94" min="11" style="0" width="3.1"/>
  </cols>
  <sheetData>
    <row r="1" customFormat="false" ht="6" hidden="false" customHeight="true" outlineLevel="0" collapsed="false">
      <c r="A1" s="6"/>
      <c r="B1" s="6"/>
    </row>
    <row r="2" customFormat="false" ht="36" hidden="false" customHeight="true" outlineLevel="0" collapsed="false">
      <c r="A2" s="28" t="s">
        <v>57</v>
      </c>
    </row>
    <row r="3" customFormat="false" ht="18" hidden="false" customHeight="true" outlineLevel="0" collapsed="false">
      <c r="A3" s="29" t="s">
        <v>58</v>
      </c>
    </row>
    <row r="4" customFormat="false" ht="21.75" hidden="false" customHeight="true" outlineLevel="0" collapsed="false">
      <c r="A4" s="30" t="s">
        <v>12</v>
      </c>
      <c r="B4" s="30"/>
      <c r="C4" s="31" t="s">
        <v>59</v>
      </c>
      <c r="D4" s="31"/>
      <c r="E4" s="32" t="s">
        <v>60</v>
      </c>
      <c r="F4" s="32"/>
      <c r="G4" s="33" t="s">
        <v>61</v>
      </c>
      <c r="H4" s="33"/>
      <c r="I4" s="34" t="s">
        <v>62</v>
      </c>
      <c r="J4" s="34"/>
      <c r="K4" s="29" t="s">
        <v>63</v>
      </c>
    </row>
    <row r="6" customFormat="false" ht="21.75" hidden="false" customHeight="true" outlineLevel="0" collapsed="false">
      <c r="A6" s="35" t="s">
        <v>64</v>
      </c>
      <c r="B6" s="36" t="s">
        <v>65</v>
      </c>
      <c r="C6" s="36" t="s">
        <v>66</v>
      </c>
      <c r="D6" s="36" t="s">
        <v>67</v>
      </c>
      <c r="E6" s="36" t="s">
        <v>68</v>
      </c>
      <c r="F6" s="36" t="s">
        <v>69</v>
      </c>
      <c r="G6" s="36" t="s">
        <v>70</v>
      </c>
      <c r="H6" s="36" t="s">
        <v>18</v>
      </c>
      <c r="I6" s="36" t="s">
        <v>71</v>
      </c>
      <c r="J6" s="36" t="s">
        <v>9</v>
      </c>
      <c r="K6" s="37" t="str">
        <f aca="false">"第1週　"&amp;TEXT(K7,"m/d")&amp;"〜"</f>
        <v>第1週　10/5〜</v>
      </c>
      <c r="L6" s="37"/>
      <c r="M6" s="37"/>
      <c r="N6" s="37"/>
      <c r="O6" s="37"/>
      <c r="P6" s="37"/>
      <c r="Q6" s="37"/>
      <c r="R6" s="38" t="str">
        <f aca="false">"第2週　"&amp;TEXT(R7,"m/d")&amp;"〜"</f>
        <v>第2週　10/12〜</v>
      </c>
      <c r="S6" s="38"/>
      <c r="T6" s="38"/>
      <c r="U6" s="38"/>
      <c r="V6" s="38"/>
      <c r="W6" s="38"/>
      <c r="X6" s="38"/>
      <c r="Y6" s="37" t="str">
        <f aca="false">"第3週　"&amp;TEXT(Y7,"m/d")&amp;"〜"</f>
        <v>第3週　10/19〜</v>
      </c>
      <c r="Z6" s="37"/>
      <c r="AA6" s="37"/>
      <c r="AB6" s="37"/>
      <c r="AC6" s="37"/>
      <c r="AD6" s="37"/>
      <c r="AE6" s="37"/>
      <c r="AF6" s="38" t="str">
        <f aca="false">"第4週　"&amp;TEXT(AF7,"m/d")&amp;"〜"</f>
        <v>第4週　10/26〜</v>
      </c>
      <c r="AG6" s="38"/>
      <c r="AH6" s="38"/>
      <c r="AI6" s="38"/>
      <c r="AJ6" s="38"/>
      <c r="AK6" s="38"/>
      <c r="AL6" s="38"/>
      <c r="AM6" s="37" t="str">
        <f aca="false">"第5週　"&amp;TEXT(AM7,"m/d")&amp;"〜"</f>
        <v>第5週　11/2〜</v>
      </c>
      <c r="AN6" s="37"/>
      <c r="AO6" s="37"/>
      <c r="AP6" s="37"/>
      <c r="AQ6" s="37"/>
      <c r="AR6" s="37"/>
      <c r="AS6" s="37"/>
      <c r="AT6" s="38" t="str">
        <f aca="false">"第6週　"&amp;TEXT(AT7,"m/d")&amp;"〜"</f>
        <v>第6週　11/9〜</v>
      </c>
      <c r="AU6" s="38"/>
      <c r="AV6" s="38"/>
      <c r="AW6" s="38"/>
      <c r="AX6" s="38"/>
      <c r="AY6" s="38"/>
      <c r="AZ6" s="38"/>
      <c r="BA6" s="37" t="str">
        <f aca="false">"第7週　"&amp;TEXT(BA7,"m/d")&amp;"〜"</f>
        <v>第7週　11/16〜</v>
      </c>
      <c r="BB6" s="37"/>
      <c r="BC6" s="37"/>
      <c r="BD6" s="37"/>
      <c r="BE6" s="37"/>
      <c r="BF6" s="37"/>
      <c r="BG6" s="37"/>
      <c r="BH6" s="38" t="str">
        <f aca="false">"第8週　"&amp;TEXT(BH7,"m/d")&amp;"〜"</f>
        <v>第8週　11/23〜</v>
      </c>
      <c r="BI6" s="38"/>
      <c r="BJ6" s="38"/>
      <c r="BK6" s="38"/>
      <c r="BL6" s="38"/>
      <c r="BM6" s="38"/>
      <c r="BN6" s="38"/>
      <c r="BO6" s="37" t="str">
        <f aca="false">"第9週　"&amp;TEXT(BO7,"m/d")&amp;"〜"</f>
        <v>第9週　11/30〜</v>
      </c>
      <c r="BP6" s="37"/>
      <c r="BQ6" s="37"/>
      <c r="BR6" s="37"/>
      <c r="BS6" s="37"/>
      <c r="BT6" s="37"/>
      <c r="BU6" s="37"/>
      <c r="BV6" s="38" t="str">
        <f aca="false">"第10週　"&amp;TEXT(BV7,"m/d")&amp;"〜"</f>
        <v>第10週　12/7〜</v>
      </c>
      <c r="BW6" s="38"/>
      <c r="BX6" s="38"/>
      <c r="BY6" s="38"/>
      <c r="BZ6" s="38"/>
      <c r="CA6" s="38"/>
      <c r="CB6" s="38"/>
      <c r="CC6" s="37" t="str">
        <f aca="false">"第11週　"&amp;TEXT(CC7,"m/d")&amp;"〜"</f>
        <v>第11週　12/14〜</v>
      </c>
      <c r="CD6" s="37"/>
      <c r="CE6" s="37"/>
      <c r="CF6" s="37"/>
      <c r="CG6" s="37"/>
      <c r="CH6" s="37"/>
      <c r="CI6" s="37"/>
      <c r="CJ6" s="38" t="str">
        <f aca="false">"第12週　"&amp;TEXT(CJ7,"m/d")&amp;"〜"</f>
        <v>第12週　12/21〜</v>
      </c>
      <c r="CK6" s="38"/>
      <c r="CL6" s="38"/>
      <c r="CM6" s="38"/>
      <c r="CN6" s="38"/>
      <c r="CO6" s="38"/>
      <c r="CP6" s="38"/>
    </row>
    <row r="7" customFormat="false" ht="18" hidden="false" customHeight="true" outlineLevel="0" collapsed="false">
      <c r="A7" s="35"/>
      <c r="B7" s="35"/>
      <c r="C7" s="35"/>
      <c r="D7" s="35"/>
      <c r="E7" s="35"/>
      <c r="F7" s="35"/>
      <c r="G7" s="35"/>
      <c r="H7" s="35"/>
      <c r="I7" s="35"/>
      <c r="J7" s="35"/>
      <c r="K7" s="39" t="n">
        <f aca="false">制作工程表!$B$4+0</f>
        <v>46300</v>
      </c>
      <c r="L7" s="39" t="n">
        <f aca="false">制作工程表!$B$4+1</f>
        <v>46301</v>
      </c>
      <c r="M7" s="39" t="n">
        <f aca="false">制作工程表!$B$4+2</f>
        <v>46302</v>
      </c>
      <c r="N7" s="39" t="n">
        <f aca="false">制作工程表!$B$4+3</f>
        <v>46303</v>
      </c>
      <c r="O7" s="39" t="n">
        <f aca="false">制作工程表!$B$4+4</f>
        <v>46304</v>
      </c>
      <c r="P7" s="39" t="n">
        <f aca="false">制作工程表!$B$4+5</f>
        <v>46305</v>
      </c>
      <c r="Q7" s="39" t="n">
        <f aca="false">制作工程表!$B$4+6</f>
        <v>46306</v>
      </c>
      <c r="R7" s="39" t="n">
        <f aca="false">制作工程表!$B$4+7</f>
        <v>46307</v>
      </c>
      <c r="S7" s="39" t="n">
        <f aca="false">制作工程表!$B$4+8</f>
        <v>46308</v>
      </c>
      <c r="T7" s="39" t="n">
        <f aca="false">制作工程表!$B$4+9</f>
        <v>46309</v>
      </c>
      <c r="U7" s="39" t="n">
        <f aca="false">制作工程表!$B$4+10</f>
        <v>46310</v>
      </c>
      <c r="V7" s="39" t="n">
        <f aca="false">制作工程表!$B$4+11</f>
        <v>46311</v>
      </c>
      <c r="W7" s="39" t="n">
        <f aca="false">制作工程表!$B$4+12</f>
        <v>46312</v>
      </c>
      <c r="X7" s="39" t="n">
        <f aca="false">制作工程表!$B$4+13</f>
        <v>46313</v>
      </c>
      <c r="Y7" s="39" t="n">
        <f aca="false">制作工程表!$B$4+14</f>
        <v>46314</v>
      </c>
      <c r="Z7" s="39" t="n">
        <f aca="false">制作工程表!$B$4+15</f>
        <v>46315</v>
      </c>
      <c r="AA7" s="39" t="n">
        <f aca="false">制作工程表!$B$4+16</f>
        <v>46316</v>
      </c>
      <c r="AB7" s="39" t="n">
        <f aca="false">制作工程表!$B$4+17</f>
        <v>46317</v>
      </c>
      <c r="AC7" s="39" t="n">
        <f aca="false">制作工程表!$B$4+18</f>
        <v>46318</v>
      </c>
      <c r="AD7" s="39" t="n">
        <f aca="false">制作工程表!$B$4+19</f>
        <v>46319</v>
      </c>
      <c r="AE7" s="39" t="n">
        <f aca="false">制作工程表!$B$4+20</f>
        <v>46320</v>
      </c>
      <c r="AF7" s="39" t="n">
        <f aca="false">制作工程表!$B$4+21</f>
        <v>46321</v>
      </c>
      <c r="AG7" s="39" t="n">
        <f aca="false">制作工程表!$B$4+22</f>
        <v>46322</v>
      </c>
      <c r="AH7" s="39" t="n">
        <f aca="false">制作工程表!$B$4+23</f>
        <v>46323</v>
      </c>
      <c r="AI7" s="39" t="n">
        <f aca="false">制作工程表!$B$4+24</f>
        <v>46324</v>
      </c>
      <c r="AJ7" s="39" t="n">
        <f aca="false">制作工程表!$B$4+25</f>
        <v>46325</v>
      </c>
      <c r="AK7" s="39" t="n">
        <f aca="false">制作工程表!$B$4+26</f>
        <v>46326</v>
      </c>
      <c r="AL7" s="39" t="n">
        <f aca="false">制作工程表!$B$4+27</f>
        <v>46327</v>
      </c>
      <c r="AM7" s="39" t="n">
        <f aca="false">制作工程表!$B$4+28</f>
        <v>46328</v>
      </c>
      <c r="AN7" s="39" t="n">
        <f aca="false">制作工程表!$B$4+29</f>
        <v>46329</v>
      </c>
      <c r="AO7" s="39" t="n">
        <f aca="false">制作工程表!$B$4+30</f>
        <v>46330</v>
      </c>
      <c r="AP7" s="39" t="n">
        <f aca="false">制作工程表!$B$4+31</f>
        <v>46331</v>
      </c>
      <c r="AQ7" s="39" t="n">
        <f aca="false">制作工程表!$B$4+32</f>
        <v>46332</v>
      </c>
      <c r="AR7" s="39" t="n">
        <f aca="false">制作工程表!$B$4+33</f>
        <v>46333</v>
      </c>
      <c r="AS7" s="39" t="n">
        <f aca="false">制作工程表!$B$4+34</f>
        <v>46334</v>
      </c>
      <c r="AT7" s="39" t="n">
        <f aca="false">制作工程表!$B$4+35</f>
        <v>46335</v>
      </c>
      <c r="AU7" s="39" t="n">
        <f aca="false">制作工程表!$B$4+36</f>
        <v>46336</v>
      </c>
      <c r="AV7" s="39" t="n">
        <f aca="false">制作工程表!$B$4+37</f>
        <v>46337</v>
      </c>
      <c r="AW7" s="39" t="n">
        <f aca="false">制作工程表!$B$4+38</f>
        <v>46338</v>
      </c>
      <c r="AX7" s="39" t="n">
        <f aca="false">制作工程表!$B$4+39</f>
        <v>46339</v>
      </c>
      <c r="AY7" s="39" t="n">
        <f aca="false">制作工程表!$B$4+40</f>
        <v>46340</v>
      </c>
      <c r="AZ7" s="39" t="n">
        <f aca="false">制作工程表!$B$4+41</f>
        <v>46341</v>
      </c>
      <c r="BA7" s="39" t="n">
        <f aca="false">制作工程表!$B$4+42</f>
        <v>46342</v>
      </c>
      <c r="BB7" s="39" t="n">
        <f aca="false">制作工程表!$B$4+43</f>
        <v>46343</v>
      </c>
      <c r="BC7" s="39" t="n">
        <f aca="false">制作工程表!$B$4+44</f>
        <v>46344</v>
      </c>
      <c r="BD7" s="39" t="n">
        <f aca="false">制作工程表!$B$4+45</f>
        <v>46345</v>
      </c>
      <c r="BE7" s="39" t="n">
        <f aca="false">制作工程表!$B$4+46</f>
        <v>46346</v>
      </c>
      <c r="BF7" s="39" t="n">
        <f aca="false">制作工程表!$B$4+47</f>
        <v>46347</v>
      </c>
      <c r="BG7" s="39" t="n">
        <f aca="false">制作工程表!$B$4+48</f>
        <v>46348</v>
      </c>
      <c r="BH7" s="39" t="n">
        <f aca="false">制作工程表!$B$4+49</f>
        <v>46349</v>
      </c>
      <c r="BI7" s="39" t="n">
        <f aca="false">制作工程表!$B$4+50</f>
        <v>46350</v>
      </c>
      <c r="BJ7" s="39" t="n">
        <f aca="false">制作工程表!$B$4+51</f>
        <v>46351</v>
      </c>
      <c r="BK7" s="39" t="n">
        <f aca="false">制作工程表!$B$4+52</f>
        <v>46352</v>
      </c>
      <c r="BL7" s="39" t="n">
        <f aca="false">制作工程表!$B$4+53</f>
        <v>46353</v>
      </c>
      <c r="BM7" s="39" t="n">
        <f aca="false">制作工程表!$B$4+54</f>
        <v>46354</v>
      </c>
      <c r="BN7" s="39" t="n">
        <f aca="false">制作工程表!$B$4+55</f>
        <v>46355</v>
      </c>
      <c r="BO7" s="39" t="n">
        <f aca="false">制作工程表!$B$4+56</f>
        <v>46356</v>
      </c>
      <c r="BP7" s="39" t="n">
        <f aca="false">制作工程表!$B$4+57</f>
        <v>46357</v>
      </c>
      <c r="BQ7" s="39" t="n">
        <f aca="false">制作工程表!$B$4+58</f>
        <v>46358</v>
      </c>
      <c r="BR7" s="39" t="n">
        <f aca="false">制作工程表!$B$4+59</f>
        <v>46359</v>
      </c>
      <c r="BS7" s="39" t="n">
        <f aca="false">制作工程表!$B$4+60</f>
        <v>46360</v>
      </c>
      <c r="BT7" s="39" t="n">
        <f aca="false">制作工程表!$B$4+61</f>
        <v>46361</v>
      </c>
      <c r="BU7" s="39" t="n">
        <f aca="false">制作工程表!$B$4+62</f>
        <v>46362</v>
      </c>
      <c r="BV7" s="39" t="n">
        <f aca="false">制作工程表!$B$4+63</f>
        <v>46363</v>
      </c>
      <c r="BW7" s="39" t="n">
        <f aca="false">制作工程表!$B$4+64</f>
        <v>46364</v>
      </c>
      <c r="BX7" s="39" t="n">
        <f aca="false">制作工程表!$B$4+65</f>
        <v>46365</v>
      </c>
      <c r="BY7" s="39" t="n">
        <f aca="false">制作工程表!$B$4+66</f>
        <v>46366</v>
      </c>
      <c r="BZ7" s="39" t="n">
        <f aca="false">制作工程表!$B$4+67</f>
        <v>46367</v>
      </c>
      <c r="CA7" s="39" t="n">
        <f aca="false">制作工程表!$B$4+68</f>
        <v>46368</v>
      </c>
      <c r="CB7" s="39" t="n">
        <f aca="false">制作工程表!$B$4+69</f>
        <v>46369</v>
      </c>
      <c r="CC7" s="39" t="n">
        <f aca="false">制作工程表!$B$4+70</f>
        <v>46370</v>
      </c>
      <c r="CD7" s="39" t="n">
        <f aca="false">制作工程表!$B$4+71</f>
        <v>46371</v>
      </c>
      <c r="CE7" s="39" t="n">
        <f aca="false">制作工程表!$B$4+72</f>
        <v>46372</v>
      </c>
      <c r="CF7" s="39" t="n">
        <f aca="false">制作工程表!$B$4+73</f>
        <v>46373</v>
      </c>
      <c r="CG7" s="39" t="n">
        <f aca="false">制作工程表!$B$4+74</f>
        <v>46374</v>
      </c>
      <c r="CH7" s="39" t="n">
        <f aca="false">制作工程表!$B$4+75</f>
        <v>46375</v>
      </c>
      <c r="CI7" s="39" t="n">
        <f aca="false">制作工程表!$B$4+76</f>
        <v>46376</v>
      </c>
      <c r="CJ7" s="39" t="n">
        <f aca="false">制作工程表!$B$4+77</f>
        <v>46377</v>
      </c>
      <c r="CK7" s="39" t="n">
        <f aca="false">制作工程表!$B$4+78</f>
        <v>46378</v>
      </c>
      <c r="CL7" s="39" t="n">
        <f aca="false">制作工程表!$B$4+79</f>
        <v>46379</v>
      </c>
      <c r="CM7" s="39" t="n">
        <f aca="false">制作工程表!$B$4+80</f>
        <v>46380</v>
      </c>
      <c r="CN7" s="39" t="n">
        <f aca="false">制作工程表!$B$4+81</f>
        <v>46381</v>
      </c>
      <c r="CO7" s="39" t="n">
        <f aca="false">制作工程表!$B$4+82</f>
        <v>46382</v>
      </c>
      <c r="CP7" s="39" t="n">
        <f aca="false">制作工程表!$B$4+83</f>
        <v>46383</v>
      </c>
    </row>
    <row r="8" customFormat="false" ht="18" hidden="false" customHeight="true" outlineLevel="0" collapsed="false">
      <c r="A8" s="35"/>
      <c r="B8" s="35"/>
      <c r="C8" s="35"/>
      <c r="D8" s="35"/>
      <c r="E8" s="35"/>
      <c r="F8" s="35"/>
      <c r="G8" s="35"/>
      <c r="H8" s="35"/>
      <c r="I8" s="35"/>
      <c r="J8" s="35"/>
      <c r="K8" s="40" t="str">
        <f aca="false">CHOOSE(WEEKDAY(K7),"日","月","火","水","木","金","土")</f>
        <v>月</v>
      </c>
      <c r="L8" s="40" t="str">
        <f aca="false">CHOOSE(WEEKDAY(L7),"日","月","火","水","木","金","土")</f>
        <v>火</v>
      </c>
      <c r="M8" s="40" t="str">
        <f aca="false">CHOOSE(WEEKDAY(M7),"日","月","火","水","木","金","土")</f>
        <v>水</v>
      </c>
      <c r="N8" s="40" t="str">
        <f aca="false">CHOOSE(WEEKDAY(N7),"日","月","火","水","木","金","土")</f>
        <v>木</v>
      </c>
      <c r="O8" s="40" t="str">
        <f aca="false">CHOOSE(WEEKDAY(O7),"日","月","火","水","木","金","土")</f>
        <v>金</v>
      </c>
      <c r="P8" s="40" t="str">
        <f aca="false">CHOOSE(WEEKDAY(P7),"日","月","火","水","木","金","土")</f>
        <v>土</v>
      </c>
      <c r="Q8" s="40" t="str">
        <f aca="false">CHOOSE(WEEKDAY(Q7),"日","月","火","水","木","金","土")</f>
        <v>日</v>
      </c>
      <c r="R8" s="40" t="str">
        <f aca="false">CHOOSE(WEEKDAY(R7),"日","月","火","水","木","金","土")</f>
        <v>月</v>
      </c>
      <c r="S8" s="40" t="str">
        <f aca="false">CHOOSE(WEEKDAY(S7),"日","月","火","水","木","金","土")</f>
        <v>火</v>
      </c>
      <c r="T8" s="40" t="str">
        <f aca="false">CHOOSE(WEEKDAY(T7),"日","月","火","水","木","金","土")</f>
        <v>水</v>
      </c>
      <c r="U8" s="40" t="str">
        <f aca="false">CHOOSE(WEEKDAY(U7),"日","月","火","水","木","金","土")</f>
        <v>木</v>
      </c>
      <c r="V8" s="40" t="str">
        <f aca="false">CHOOSE(WEEKDAY(V7),"日","月","火","水","木","金","土")</f>
        <v>金</v>
      </c>
      <c r="W8" s="40" t="str">
        <f aca="false">CHOOSE(WEEKDAY(W7),"日","月","火","水","木","金","土")</f>
        <v>土</v>
      </c>
      <c r="X8" s="40" t="str">
        <f aca="false">CHOOSE(WEEKDAY(X7),"日","月","火","水","木","金","土")</f>
        <v>日</v>
      </c>
      <c r="Y8" s="40" t="str">
        <f aca="false">CHOOSE(WEEKDAY(Y7),"日","月","火","水","木","金","土")</f>
        <v>月</v>
      </c>
      <c r="Z8" s="40" t="str">
        <f aca="false">CHOOSE(WEEKDAY(Z7),"日","月","火","水","木","金","土")</f>
        <v>火</v>
      </c>
      <c r="AA8" s="40" t="str">
        <f aca="false">CHOOSE(WEEKDAY(AA7),"日","月","火","水","木","金","土")</f>
        <v>水</v>
      </c>
      <c r="AB8" s="40" t="str">
        <f aca="false">CHOOSE(WEEKDAY(AB7),"日","月","火","水","木","金","土")</f>
        <v>木</v>
      </c>
      <c r="AC8" s="40" t="str">
        <f aca="false">CHOOSE(WEEKDAY(AC7),"日","月","火","水","木","金","土")</f>
        <v>金</v>
      </c>
      <c r="AD8" s="40" t="str">
        <f aca="false">CHOOSE(WEEKDAY(AD7),"日","月","火","水","木","金","土")</f>
        <v>土</v>
      </c>
      <c r="AE8" s="40" t="str">
        <f aca="false">CHOOSE(WEEKDAY(AE7),"日","月","火","水","木","金","土")</f>
        <v>日</v>
      </c>
      <c r="AF8" s="40" t="str">
        <f aca="false">CHOOSE(WEEKDAY(AF7),"日","月","火","水","木","金","土")</f>
        <v>月</v>
      </c>
      <c r="AG8" s="40" t="str">
        <f aca="false">CHOOSE(WEEKDAY(AG7),"日","月","火","水","木","金","土")</f>
        <v>火</v>
      </c>
      <c r="AH8" s="40" t="str">
        <f aca="false">CHOOSE(WEEKDAY(AH7),"日","月","火","水","木","金","土")</f>
        <v>水</v>
      </c>
      <c r="AI8" s="40" t="str">
        <f aca="false">CHOOSE(WEEKDAY(AI7),"日","月","火","水","木","金","土")</f>
        <v>木</v>
      </c>
      <c r="AJ8" s="40" t="str">
        <f aca="false">CHOOSE(WEEKDAY(AJ7),"日","月","火","水","木","金","土")</f>
        <v>金</v>
      </c>
      <c r="AK8" s="40" t="str">
        <f aca="false">CHOOSE(WEEKDAY(AK7),"日","月","火","水","木","金","土")</f>
        <v>土</v>
      </c>
      <c r="AL8" s="40" t="str">
        <f aca="false">CHOOSE(WEEKDAY(AL7),"日","月","火","水","木","金","土")</f>
        <v>日</v>
      </c>
      <c r="AM8" s="40" t="str">
        <f aca="false">CHOOSE(WEEKDAY(AM7),"日","月","火","水","木","金","土")</f>
        <v>月</v>
      </c>
      <c r="AN8" s="40" t="str">
        <f aca="false">CHOOSE(WEEKDAY(AN7),"日","月","火","水","木","金","土")</f>
        <v>火</v>
      </c>
      <c r="AO8" s="40" t="str">
        <f aca="false">CHOOSE(WEEKDAY(AO7),"日","月","火","水","木","金","土")</f>
        <v>水</v>
      </c>
      <c r="AP8" s="40" t="str">
        <f aca="false">CHOOSE(WEEKDAY(AP7),"日","月","火","水","木","金","土")</f>
        <v>木</v>
      </c>
      <c r="AQ8" s="40" t="str">
        <f aca="false">CHOOSE(WEEKDAY(AQ7),"日","月","火","水","木","金","土")</f>
        <v>金</v>
      </c>
      <c r="AR8" s="40" t="str">
        <f aca="false">CHOOSE(WEEKDAY(AR7),"日","月","火","水","木","金","土")</f>
        <v>土</v>
      </c>
      <c r="AS8" s="40" t="str">
        <f aca="false">CHOOSE(WEEKDAY(AS7),"日","月","火","水","木","金","土")</f>
        <v>日</v>
      </c>
      <c r="AT8" s="40" t="str">
        <f aca="false">CHOOSE(WEEKDAY(AT7),"日","月","火","水","木","金","土")</f>
        <v>月</v>
      </c>
      <c r="AU8" s="40" t="str">
        <f aca="false">CHOOSE(WEEKDAY(AU7),"日","月","火","水","木","金","土")</f>
        <v>火</v>
      </c>
      <c r="AV8" s="40" t="str">
        <f aca="false">CHOOSE(WEEKDAY(AV7),"日","月","火","水","木","金","土")</f>
        <v>水</v>
      </c>
      <c r="AW8" s="40" t="str">
        <f aca="false">CHOOSE(WEEKDAY(AW7),"日","月","火","水","木","金","土")</f>
        <v>木</v>
      </c>
      <c r="AX8" s="40" t="str">
        <f aca="false">CHOOSE(WEEKDAY(AX7),"日","月","火","水","木","金","土")</f>
        <v>金</v>
      </c>
      <c r="AY8" s="40" t="str">
        <f aca="false">CHOOSE(WEEKDAY(AY7),"日","月","火","水","木","金","土")</f>
        <v>土</v>
      </c>
      <c r="AZ8" s="40" t="str">
        <f aca="false">CHOOSE(WEEKDAY(AZ7),"日","月","火","水","木","金","土")</f>
        <v>日</v>
      </c>
      <c r="BA8" s="40" t="str">
        <f aca="false">CHOOSE(WEEKDAY(BA7),"日","月","火","水","木","金","土")</f>
        <v>月</v>
      </c>
      <c r="BB8" s="40" t="str">
        <f aca="false">CHOOSE(WEEKDAY(BB7),"日","月","火","水","木","金","土")</f>
        <v>火</v>
      </c>
      <c r="BC8" s="40" t="str">
        <f aca="false">CHOOSE(WEEKDAY(BC7),"日","月","火","水","木","金","土")</f>
        <v>水</v>
      </c>
      <c r="BD8" s="40" t="str">
        <f aca="false">CHOOSE(WEEKDAY(BD7),"日","月","火","水","木","金","土")</f>
        <v>木</v>
      </c>
      <c r="BE8" s="40" t="str">
        <f aca="false">CHOOSE(WEEKDAY(BE7),"日","月","火","水","木","金","土")</f>
        <v>金</v>
      </c>
      <c r="BF8" s="40" t="str">
        <f aca="false">CHOOSE(WEEKDAY(BF7),"日","月","火","水","木","金","土")</f>
        <v>土</v>
      </c>
      <c r="BG8" s="40" t="str">
        <f aca="false">CHOOSE(WEEKDAY(BG7),"日","月","火","水","木","金","土")</f>
        <v>日</v>
      </c>
      <c r="BH8" s="40" t="str">
        <f aca="false">CHOOSE(WEEKDAY(BH7),"日","月","火","水","木","金","土")</f>
        <v>月</v>
      </c>
      <c r="BI8" s="40" t="str">
        <f aca="false">CHOOSE(WEEKDAY(BI7),"日","月","火","水","木","金","土")</f>
        <v>火</v>
      </c>
      <c r="BJ8" s="40" t="str">
        <f aca="false">CHOOSE(WEEKDAY(BJ7),"日","月","火","水","木","金","土")</f>
        <v>水</v>
      </c>
      <c r="BK8" s="40" t="str">
        <f aca="false">CHOOSE(WEEKDAY(BK7),"日","月","火","水","木","金","土")</f>
        <v>木</v>
      </c>
      <c r="BL8" s="40" t="str">
        <f aca="false">CHOOSE(WEEKDAY(BL7),"日","月","火","水","木","金","土")</f>
        <v>金</v>
      </c>
      <c r="BM8" s="40" t="str">
        <f aca="false">CHOOSE(WEEKDAY(BM7),"日","月","火","水","木","金","土")</f>
        <v>土</v>
      </c>
      <c r="BN8" s="40" t="str">
        <f aca="false">CHOOSE(WEEKDAY(BN7),"日","月","火","水","木","金","土")</f>
        <v>日</v>
      </c>
      <c r="BO8" s="40" t="str">
        <f aca="false">CHOOSE(WEEKDAY(BO7),"日","月","火","水","木","金","土")</f>
        <v>月</v>
      </c>
      <c r="BP8" s="40" t="str">
        <f aca="false">CHOOSE(WEEKDAY(BP7),"日","月","火","水","木","金","土")</f>
        <v>火</v>
      </c>
      <c r="BQ8" s="40" t="str">
        <f aca="false">CHOOSE(WEEKDAY(BQ7),"日","月","火","水","木","金","土")</f>
        <v>水</v>
      </c>
      <c r="BR8" s="40" t="str">
        <f aca="false">CHOOSE(WEEKDAY(BR7),"日","月","火","水","木","金","土")</f>
        <v>木</v>
      </c>
      <c r="BS8" s="40" t="str">
        <f aca="false">CHOOSE(WEEKDAY(BS7),"日","月","火","水","木","金","土")</f>
        <v>金</v>
      </c>
      <c r="BT8" s="40" t="str">
        <f aca="false">CHOOSE(WEEKDAY(BT7),"日","月","火","水","木","金","土")</f>
        <v>土</v>
      </c>
      <c r="BU8" s="40" t="str">
        <f aca="false">CHOOSE(WEEKDAY(BU7),"日","月","火","水","木","金","土")</f>
        <v>日</v>
      </c>
      <c r="BV8" s="40" t="str">
        <f aca="false">CHOOSE(WEEKDAY(BV7),"日","月","火","水","木","金","土")</f>
        <v>月</v>
      </c>
      <c r="BW8" s="40" t="str">
        <f aca="false">CHOOSE(WEEKDAY(BW7),"日","月","火","水","木","金","土")</f>
        <v>火</v>
      </c>
      <c r="BX8" s="40" t="str">
        <f aca="false">CHOOSE(WEEKDAY(BX7),"日","月","火","水","木","金","土")</f>
        <v>水</v>
      </c>
      <c r="BY8" s="40" t="str">
        <f aca="false">CHOOSE(WEEKDAY(BY7),"日","月","火","水","木","金","土")</f>
        <v>木</v>
      </c>
      <c r="BZ8" s="40" t="str">
        <f aca="false">CHOOSE(WEEKDAY(BZ7),"日","月","火","水","木","金","土")</f>
        <v>金</v>
      </c>
      <c r="CA8" s="40" t="str">
        <f aca="false">CHOOSE(WEEKDAY(CA7),"日","月","火","水","木","金","土")</f>
        <v>土</v>
      </c>
      <c r="CB8" s="40" t="str">
        <f aca="false">CHOOSE(WEEKDAY(CB7),"日","月","火","水","木","金","土")</f>
        <v>日</v>
      </c>
      <c r="CC8" s="40" t="str">
        <f aca="false">CHOOSE(WEEKDAY(CC7),"日","月","火","水","木","金","土")</f>
        <v>月</v>
      </c>
      <c r="CD8" s="40" t="str">
        <f aca="false">CHOOSE(WEEKDAY(CD7),"日","月","火","水","木","金","土")</f>
        <v>火</v>
      </c>
      <c r="CE8" s="40" t="str">
        <f aca="false">CHOOSE(WEEKDAY(CE7),"日","月","火","水","木","金","土")</f>
        <v>水</v>
      </c>
      <c r="CF8" s="40" t="str">
        <f aca="false">CHOOSE(WEEKDAY(CF7),"日","月","火","水","木","金","土")</f>
        <v>木</v>
      </c>
      <c r="CG8" s="40" t="str">
        <f aca="false">CHOOSE(WEEKDAY(CG7),"日","月","火","水","木","金","土")</f>
        <v>金</v>
      </c>
      <c r="CH8" s="40" t="str">
        <f aca="false">CHOOSE(WEEKDAY(CH7),"日","月","火","水","木","金","土")</f>
        <v>土</v>
      </c>
      <c r="CI8" s="40" t="str">
        <f aca="false">CHOOSE(WEEKDAY(CI7),"日","月","火","水","木","金","土")</f>
        <v>日</v>
      </c>
      <c r="CJ8" s="40" t="str">
        <f aca="false">CHOOSE(WEEKDAY(CJ7),"日","月","火","水","木","金","土")</f>
        <v>月</v>
      </c>
      <c r="CK8" s="40" t="str">
        <f aca="false">CHOOSE(WEEKDAY(CK7),"日","月","火","水","木","金","土")</f>
        <v>火</v>
      </c>
      <c r="CL8" s="40" t="str">
        <f aca="false">CHOOSE(WEEKDAY(CL7),"日","月","火","水","木","金","土")</f>
        <v>水</v>
      </c>
      <c r="CM8" s="40" t="str">
        <f aca="false">CHOOSE(WEEKDAY(CM7),"日","月","火","水","木","金","土")</f>
        <v>木</v>
      </c>
      <c r="CN8" s="40" t="str">
        <f aca="false">CHOOSE(WEEKDAY(CN7),"日","月","火","水","木","金","土")</f>
        <v>金</v>
      </c>
      <c r="CO8" s="40" t="str">
        <f aca="false">CHOOSE(WEEKDAY(CO7),"日","月","火","水","木","金","土")</f>
        <v>土</v>
      </c>
      <c r="CP8" s="40" t="str">
        <f aca="false">CHOOSE(WEEKDAY(CP7),"日","月","火","水","木","金","土")</f>
        <v>日</v>
      </c>
    </row>
    <row r="9" customFormat="false" ht="19.5" hidden="false" customHeight="true" outlineLevel="0" collapsed="false">
      <c r="A9" s="41" t="str">
        <f aca="false">"マイルストーン　撮影 "&amp;TEXT(制作工程表!$E$4,"m/d")&amp;"・"&amp;TEXT(制作工程表!$H$4,"m/d")&amp;"　／　公開 "&amp;TEXT(制作工程表!$H$29,"m/d")</f>
        <v>マイルストーン　撮影 10/27・10/28　／　公開 12/23</v>
      </c>
      <c r="B9" s="41"/>
      <c r="C9" s="41"/>
      <c r="D9" s="41"/>
      <c r="E9" s="41"/>
      <c r="F9" s="41"/>
      <c r="G9" s="41"/>
      <c r="H9" s="41"/>
      <c r="I9" s="41"/>
      <c r="J9" s="41"/>
      <c r="K9" s="42" t="str">
        <f aca="false">IF(OR(K$7=制作工程表!$E$4,K$7=制作工程表!$H$4),"撮",IF(K$7=制作工程表!$H$29,"公",""))</f>
        <v/>
      </c>
      <c r="L9" s="42" t="str">
        <f aca="false">IF(OR(L$7=制作工程表!$E$4,L$7=制作工程表!$H$4),"撮",IF(L$7=制作工程表!$H$29,"公",""))</f>
        <v/>
      </c>
      <c r="M9" s="42" t="str">
        <f aca="false">IF(OR(M$7=制作工程表!$E$4,M$7=制作工程表!$H$4),"撮",IF(M$7=制作工程表!$H$29,"公",""))</f>
        <v/>
      </c>
      <c r="N9" s="42" t="str">
        <f aca="false">IF(OR(N$7=制作工程表!$E$4,N$7=制作工程表!$H$4),"撮",IF(N$7=制作工程表!$H$29,"公",""))</f>
        <v/>
      </c>
      <c r="O9" s="42" t="str">
        <f aca="false">IF(OR(O$7=制作工程表!$E$4,O$7=制作工程表!$H$4),"撮",IF(O$7=制作工程表!$H$29,"公",""))</f>
        <v/>
      </c>
      <c r="P9" s="42" t="str">
        <f aca="false">IF(OR(P$7=制作工程表!$E$4,P$7=制作工程表!$H$4),"撮",IF(P$7=制作工程表!$H$29,"公",""))</f>
        <v/>
      </c>
      <c r="Q9" s="42" t="str">
        <f aca="false">IF(OR(Q$7=制作工程表!$E$4,Q$7=制作工程表!$H$4),"撮",IF(Q$7=制作工程表!$H$29,"公",""))</f>
        <v/>
      </c>
      <c r="R9" s="42" t="str">
        <f aca="false">IF(OR(R$7=制作工程表!$E$4,R$7=制作工程表!$H$4),"撮",IF(R$7=制作工程表!$H$29,"公",""))</f>
        <v/>
      </c>
      <c r="S9" s="42" t="str">
        <f aca="false">IF(OR(S$7=制作工程表!$E$4,S$7=制作工程表!$H$4),"撮",IF(S$7=制作工程表!$H$29,"公",""))</f>
        <v/>
      </c>
      <c r="T9" s="42" t="str">
        <f aca="false">IF(OR(T$7=制作工程表!$E$4,T$7=制作工程表!$H$4),"撮",IF(T$7=制作工程表!$H$29,"公",""))</f>
        <v/>
      </c>
      <c r="U9" s="42" t="str">
        <f aca="false">IF(OR(U$7=制作工程表!$E$4,U$7=制作工程表!$H$4),"撮",IF(U$7=制作工程表!$H$29,"公",""))</f>
        <v/>
      </c>
      <c r="V9" s="42" t="str">
        <f aca="false">IF(OR(V$7=制作工程表!$E$4,V$7=制作工程表!$H$4),"撮",IF(V$7=制作工程表!$H$29,"公",""))</f>
        <v/>
      </c>
      <c r="W9" s="42" t="str">
        <f aca="false">IF(OR(W$7=制作工程表!$E$4,W$7=制作工程表!$H$4),"撮",IF(W$7=制作工程表!$H$29,"公",""))</f>
        <v/>
      </c>
      <c r="X9" s="42" t="str">
        <f aca="false">IF(OR(X$7=制作工程表!$E$4,X$7=制作工程表!$H$4),"撮",IF(X$7=制作工程表!$H$29,"公",""))</f>
        <v/>
      </c>
      <c r="Y9" s="42" t="str">
        <f aca="false">IF(OR(Y$7=制作工程表!$E$4,Y$7=制作工程表!$H$4),"撮",IF(Y$7=制作工程表!$H$29,"公",""))</f>
        <v/>
      </c>
      <c r="Z9" s="42" t="str">
        <f aca="false">IF(OR(Z$7=制作工程表!$E$4,Z$7=制作工程表!$H$4),"撮",IF(Z$7=制作工程表!$H$29,"公",""))</f>
        <v/>
      </c>
      <c r="AA9" s="42" t="str">
        <f aca="false">IF(OR(AA$7=制作工程表!$E$4,AA$7=制作工程表!$H$4),"撮",IF(AA$7=制作工程表!$H$29,"公",""))</f>
        <v/>
      </c>
      <c r="AB9" s="42" t="str">
        <f aca="false">IF(OR(AB$7=制作工程表!$E$4,AB$7=制作工程表!$H$4),"撮",IF(AB$7=制作工程表!$H$29,"公",""))</f>
        <v/>
      </c>
      <c r="AC9" s="42" t="str">
        <f aca="false">IF(OR(AC$7=制作工程表!$E$4,AC$7=制作工程表!$H$4),"撮",IF(AC$7=制作工程表!$H$29,"公",""))</f>
        <v/>
      </c>
      <c r="AD9" s="42" t="str">
        <f aca="false">IF(OR(AD$7=制作工程表!$E$4,AD$7=制作工程表!$H$4),"撮",IF(AD$7=制作工程表!$H$29,"公",""))</f>
        <v/>
      </c>
      <c r="AE9" s="42" t="str">
        <f aca="false">IF(OR(AE$7=制作工程表!$E$4,AE$7=制作工程表!$H$4),"撮",IF(AE$7=制作工程表!$H$29,"公",""))</f>
        <v/>
      </c>
      <c r="AF9" s="42" t="str">
        <f aca="false">IF(OR(AF$7=制作工程表!$E$4,AF$7=制作工程表!$H$4),"撮",IF(AF$7=制作工程表!$H$29,"公",""))</f>
        <v/>
      </c>
      <c r="AG9" s="42" t="str">
        <f aca="false">IF(OR(AG$7=制作工程表!$E$4,AG$7=制作工程表!$H$4),"撮",IF(AG$7=制作工程表!$H$29,"公",""))</f>
        <v>撮</v>
      </c>
      <c r="AH9" s="42" t="str">
        <f aca="false">IF(OR(AH$7=制作工程表!$E$4,AH$7=制作工程表!$H$4),"撮",IF(AH$7=制作工程表!$H$29,"公",""))</f>
        <v>撮</v>
      </c>
      <c r="AI9" s="42" t="str">
        <f aca="false">IF(OR(AI$7=制作工程表!$E$4,AI$7=制作工程表!$H$4),"撮",IF(AI$7=制作工程表!$H$29,"公",""))</f>
        <v/>
      </c>
      <c r="AJ9" s="42" t="str">
        <f aca="false">IF(OR(AJ$7=制作工程表!$E$4,AJ$7=制作工程表!$H$4),"撮",IF(AJ$7=制作工程表!$H$29,"公",""))</f>
        <v/>
      </c>
      <c r="AK9" s="42" t="str">
        <f aca="false">IF(OR(AK$7=制作工程表!$E$4,AK$7=制作工程表!$H$4),"撮",IF(AK$7=制作工程表!$H$29,"公",""))</f>
        <v/>
      </c>
      <c r="AL9" s="42" t="str">
        <f aca="false">IF(OR(AL$7=制作工程表!$E$4,AL$7=制作工程表!$H$4),"撮",IF(AL$7=制作工程表!$H$29,"公",""))</f>
        <v/>
      </c>
      <c r="AM9" s="42" t="str">
        <f aca="false">IF(OR(AM$7=制作工程表!$E$4,AM$7=制作工程表!$H$4),"撮",IF(AM$7=制作工程表!$H$29,"公",""))</f>
        <v/>
      </c>
      <c r="AN9" s="42" t="str">
        <f aca="false">IF(OR(AN$7=制作工程表!$E$4,AN$7=制作工程表!$H$4),"撮",IF(AN$7=制作工程表!$H$29,"公",""))</f>
        <v/>
      </c>
      <c r="AO9" s="42" t="str">
        <f aca="false">IF(OR(AO$7=制作工程表!$E$4,AO$7=制作工程表!$H$4),"撮",IF(AO$7=制作工程表!$H$29,"公",""))</f>
        <v/>
      </c>
      <c r="AP9" s="42" t="str">
        <f aca="false">IF(OR(AP$7=制作工程表!$E$4,AP$7=制作工程表!$H$4),"撮",IF(AP$7=制作工程表!$H$29,"公",""))</f>
        <v/>
      </c>
      <c r="AQ9" s="42" t="str">
        <f aca="false">IF(OR(AQ$7=制作工程表!$E$4,AQ$7=制作工程表!$H$4),"撮",IF(AQ$7=制作工程表!$H$29,"公",""))</f>
        <v/>
      </c>
      <c r="AR9" s="42" t="str">
        <f aca="false">IF(OR(AR$7=制作工程表!$E$4,AR$7=制作工程表!$H$4),"撮",IF(AR$7=制作工程表!$H$29,"公",""))</f>
        <v/>
      </c>
      <c r="AS9" s="42" t="str">
        <f aca="false">IF(OR(AS$7=制作工程表!$E$4,AS$7=制作工程表!$H$4),"撮",IF(AS$7=制作工程表!$H$29,"公",""))</f>
        <v/>
      </c>
      <c r="AT9" s="42" t="str">
        <f aca="false">IF(OR(AT$7=制作工程表!$E$4,AT$7=制作工程表!$H$4),"撮",IF(AT$7=制作工程表!$H$29,"公",""))</f>
        <v/>
      </c>
      <c r="AU9" s="42" t="str">
        <f aca="false">IF(OR(AU$7=制作工程表!$E$4,AU$7=制作工程表!$H$4),"撮",IF(AU$7=制作工程表!$H$29,"公",""))</f>
        <v/>
      </c>
      <c r="AV9" s="42" t="str">
        <f aca="false">IF(OR(AV$7=制作工程表!$E$4,AV$7=制作工程表!$H$4),"撮",IF(AV$7=制作工程表!$H$29,"公",""))</f>
        <v/>
      </c>
      <c r="AW9" s="42" t="str">
        <f aca="false">IF(OR(AW$7=制作工程表!$E$4,AW$7=制作工程表!$H$4),"撮",IF(AW$7=制作工程表!$H$29,"公",""))</f>
        <v/>
      </c>
      <c r="AX9" s="42" t="str">
        <f aca="false">IF(OR(AX$7=制作工程表!$E$4,AX$7=制作工程表!$H$4),"撮",IF(AX$7=制作工程表!$H$29,"公",""))</f>
        <v/>
      </c>
      <c r="AY9" s="42" t="str">
        <f aca="false">IF(OR(AY$7=制作工程表!$E$4,AY$7=制作工程表!$H$4),"撮",IF(AY$7=制作工程表!$H$29,"公",""))</f>
        <v/>
      </c>
      <c r="AZ9" s="42" t="str">
        <f aca="false">IF(OR(AZ$7=制作工程表!$E$4,AZ$7=制作工程表!$H$4),"撮",IF(AZ$7=制作工程表!$H$29,"公",""))</f>
        <v/>
      </c>
      <c r="BA9" s="42" t="str">
        <f aca="false">IF(OR(BA$7=制作工程表!$E$4,BA$7=制作工程表!$H$4),"撮",IF(BA$7=制作工程表!$H$29,"公",""))</f>
        <v/>
      </c>
      <c r="BB9" s="42" t="str">
        <f aca="false">IF(OR(BB$7=制作工程表!$E$4,BB$7=制作工程表!$H$4),"撮",IF(BB$7=制作工程表!$H$29,"公",""))</f>
        <v/>
      </c>
      <c r="BC9" s="42" t="str">
        <f aca="false">IF(OR(BC$7=制作工程表!$E$4,BC$7=制作工程表!$H$4),"撮",IF(BC$7=制作工程表!$H$29,"公",""))</f>
        <v/>
      </c>
      <c r="BD9" s="42" t="str">
        <f aca="false">IF(OR(BD$7=制作工程表!$E$4,BD$7=制作工程表!$H$4),"撮",IF(BD$7=制作工程表!$H$29,"公",""))</f>
        <v/>
      </c>
      <c r="BE9" s="42" t="str">
        <f aca="false">IF(OR(BE$7=制作工程表!$E$4,BE$7=制作工程表!$H$4),"撮",IF(BE$7=制作工程表!$H$29,"公",""))</f>
        <v/>
      </c>
      <c r="BF9" s="42" t="str">
        <f aca="false">IF(OR(BF$7=制作工程表!$E$4,BF$7=制作工程表!$H$4),"撮",IF(BF$7=制作工程表!$H$29,"公",""))</f>
        <v/>
      </c>
      <c r="BG9" s="42" t="str">
        <f aca="false">IF(OR(BG$7=制作工程表!$E$4,BG$7=制作工程表!$H$4),"撮",IF(BG$7=制作工程表!$H$29,"公",""))</f>
        <v/>
      </c>
      <c r="BH9" s="42" t="str">
        <f aca="false">IF(OR(BH$7=制作工程表!$E$4,BH$7=制作工程表!$H$4),"撮",IF(BH$7=制作工程表!$H$29,"公",""))</f>
        <v/>
      </c>
      <c r="BI9" s="42" t="str">
        <f aca="false">IF(OR(BI$7=制作工程表!$E$4,BI$7=制作工程表!$H$4),"撮",IF(BI$7=制作工程表!$H$29,"公",""))</f>
        <v/>
      </c>
      <c r="BJ9" s="42" t="str">
        <f aca="false">IF(OR(BJ$7=制作工程表!$E$4,BJ$7=制作工程表!$H$4),"撮",IF(BJ$7=制作工程表!$H$29,"公",""))</f>
        <v/>
      </c>
      <c r="BK9" s="42" t="str">
        <f aca="false">IF(OR(BK$7=制作工程表!$E$4,BK$7=制作工程表!$H$4),"撮",IF(BK$7=制作工程表!$H$29,"公",""))</f>
        <v/>
      </c>
      <c r="BL9" s="42" t="str">
        <f aca="false">IF(OR(BL$7=制作工程表!$E$4,BL$7=制作工程表!$H$4),"撮",IF(BL$7=制作工程表!$H$29,"公",""))</f>
        <v/>
      </c>
      <c r="BM9" s="42" t="str">
        <f aca="false">IF(OR(BM$7=制作工程表!$E$4,BM$7=制作工程表!$H$4),"撮",IF(BM$7=制作工程表!$H$29,"公",""))</f>
        <v/>
      </c>
      <c r="BN9" s="42" t="str">
        <f aca="false">IF(OR(BN$7=制作工程表!$E$4,BN$7=制作工程表!$H$4),"撮",IF(BN$7=制作工程表!$H$29,"公",""))</f>
        <v/>
      </c>
      <c r="BO9" s="42" t="str">
        <f aca="false">IF(OR(BO$7=制作工程表!$E$4,BO$7=制作工程表!$H$4),"撮",IF(BO$7=制作工程表!$H$29,"公",""))</f>
        <v/>
      </c>
      <c r="BP9" s="42" t="str">
        <f aca="false">IF(OR(BP$7=制作工程表!$E$4,BP$7=制作工程表!$H$4),"撮",IF(BP$7=制作工程表!$H$29,"公",""))</f>
        <v/>
      </c>
      <c r="BQ9" s="42" t="str">
        <f aca="false">IF(OR(BQ$7=制作工程表!$E$4,BQ$7=制作工程表!$H$4),"撮",IF(BQ$7=制作工程表!$H$29,"公",""))</f>
        <v/>
      </c>
      <c r="BR9" s="42" t="str">
        <f aca="false">IF(OR(BR$7=制作工程表!$E$4,BR$7=制作工程表!$H$4),"撮",IF(BR$7=制作工程表!$H$29,"公",""))</f>
        <v/>
      </c>
      <c r="BS9" s="42" t="str">
        <f aca="false">IF(OR(BS$7=制作工程表!$E$4,BS$7=制作工程表!$H$4),"撮",IF(BS$7=制作工程表!$H$29,"公",""))</f>
        <v/>
      </c>
      <c r="BT9" s="42" t="str">
        <f aca="false">IF(OR(BT$7=制作工程表!$E$4,BT$7=制作工程表!$H$4),"撮",IF(BT$7=制作工程表!$H$29,"公",""))</f>
        <v/>
      </c>
      <c r="BU9" s="42" t="str">
        <f aca="false">IF(OR(BU$7=制作工程表!$E$4,BU$7=制作工程表!$H$4),"撮",IF(BU$7=制作工程表!$H$29,"公",""))</f>
        <v/>
      </c>
      <c r="BV9" s="42" t="str">
        <f aca="false">IF(OR(BV$7=制作工程表!$E$4,BV$7=制作工程表!$H$4),"撮",IF(BV$7=制作工程表!$H$29,"公",""))</f>
        <v/>
      </c>
      <c r="BW9" s="42" t="str">
        <f aca="false">IF(OR(BW$7=制作工程表!$E$4,BW$7=制作工程表!$H$4),"撮",IF(BW$7=制作工程表!$H$29,"公",""))</f>
        <v/>
      </c>
      <c r="BX9" s="42" t="str">
        <f aca="false">IF(OR(BX$7=制作工程表!$E$4,BX$7=制作工程表!$H$4),"撮",IF(BX$7=制作工程表!$H$29,"公",""))</f>
        <v/>
      </c>
      <c r="BY9" s="42" t="str">
        <f aca="false">IF(OR(BY$7=制作工程表!$E$4,BY$7=制作工程表!$H$4),"撮",IF(BY$7=制作工程表!$H$29,"公",""))</f>
        <v/>
      </c>
      <c r="BZ9" s="42" t="str">
        <f aca="false">IF(OR(BZ$7=制作工程表!$E$4,BZ$7=制作工程表!$H$4),"撮",IF(BZ$7=制作工程表!$H$29,"公",""))</f>
        <v/>
      </c>
      <c r="CA9" s="42" t="str">
        <f aca="false">IF(OR(CA$7=制作工程表!$E$4,CA$7=制作工程表!$H$4),"撮",IF(CA$7=制作工程表!$H$29,"公",""))</f>
        <v/>
      </c>
      <c r="CB9" s="42" t="str">
        <f aca="false">IF(OR(CB$7=制作工程表!$E$4,CB$7=制作工程表!$H$4),"撮",IF(CB$7=制作工程表!$H$29,"公",""))</f>
        <v/>
      </c>
      <c r="CC9" s="42" t="str">
        <f aca="false">IF(OR(CC$7=制作工程表!$E$4,CC$7=制作工程表!$H$4),"撮",IF(CC$7=制作工程表!$H$29,"公",""))</f>
        <v/>
      </c>
      <c r="CD9" s="42" t="str">
        <f aca="false">IF(OR(CD$7=制作工程表!$E$4,CD$7=制作工程表!$H$4),"撮",IF(CD$7=制作工程表!$H$29,"公",""))</f>
        <v/>
      </c>
      <c r="CE9" s="42" t="str">
        <f aca="false">IF(OR(CE$7=制作工程表!$E$4,CE$7=制作工程表!$H$4),"撮",IF(CE$7=制作工程表!$H$29,"公",""))</f>
        <v/>
      </c>
      <c r="CF9" s="42" t="str">
        <f aca="false">IF(OR(CF$7=制作工程表!$E$4,CF$7=制作工程表!$H$4),"撮",IF(CF$7=制作工程表!$H$29,"公",""))</f>
        <v/>
      </c>
      <c r="CG9" s="42" t="str">
        <f aca="false">IF(OR(CG$7=制作工程表!$E$4,CG$7=制作工程表!$H$4),"撮",IF(CG$7=制作工程表!$H$29,"公",""))</f>
        <v/>
      </c>
      <c r="CH9" s="42" t="str">
        <f aca="false">IF(OR(CH$7=制作工程表!$E$4,CH$7=制作工程表!$H$4),"撮",IF(CH$7=制作工程表!$H$29,"公",""))</f>
        <v/>
      </c>
      <c r="CI9" s="42" t="str">
        <f aca="false">IF(OR(CI$7=制作工程表!$E$4,CI$7=制作工程表!$H$4),"撮",IF(CI$7=制作工程表!$H$29,"公",""))</f>
        <v/>
      </c>
      <c r="CJ9" s="42" t="str">
        <f aca="false">IF(OR(CJ$7=制作工程表!$E$4,CJ$7=制作工程表!$H$4),"撮",IF(CJ$7=制作工程表!$H$29,"公",""))</f>
        <v/>
      </c>
      <c r="CK9" s="42" t="str">
        <f aca="false">IF(OR(CK$7=制作工程表!$E$4,CK$7=制作工程表!$H$4),"撮",IF(CK$7=制作工程表!$H$29,"公",""))</f>
        <v/>
      </c>
      <c r="CL9" s="42" t="str">
        <f aca="false">IF(OR(CL$7=制作工程表!$E$4,CL$7=制作工程表!$H$4),"撮",IF(CL$7=制作工程表!$H$29,"公",""))</f>
        <v>公</v>
      </c>
      <c r="CM9" s="42" t="str">
        <f aca="false">IF(OR(CM$7=制作工程表!$E$4,CM$7=制作工程表!$H$4),"撮",IF(CM$7=制作工程表!$H$29,"公",""))</f>
        <v/>
      </c>
      <c r="CN9" s="42" t="str">
        <f aca="false">IF(OR(CN$7=制作工程表!$E$4,CN$7=制作工程表!$H$4),"撮",IF(CN$7=制作工程表!$H$29,"公",""))</f>
        <v/>
      </c>
      <c r="CO9" s="42" t="str">
        <f aca="false">IF(OR(CO$7=制作工程表!$E$4,CO$7=制作工程表!$H$4),"撮",IF(CO$7=制作工程表!$H$29,"公",""))</f>
        <v/>
      </c>
      <c r="CP9" s="42" t="str">
        <f aca="false">IF(OR(CP$7=制作工程表!$E$4,CP$7=制作工程表!$H$4),"撮",IF(CP$7=制作工程表!$H$29,"公",""))</f>
        <v/>
      </c>
    </row>
    <row r="10" customFormat="false" ht="21.75" hidden="false" customHeight="true" outlineLevel="0" collapsed="false">
      <c r="A10" s="43" t="s">
        <v>72</v>
      </c>
      <c r="B10" s="43"/>
      <c r="C10" s="43"/>
      <c r="D10" s="43"/>
      <c r="E10" s="43"/>
      <c r="F10" s="44" t="s">
        <v>73</v>
      </c>
      <c r="G10" s="45" t="n">
        <f aca="false">MIN(制作工程表!G9:G12)</f>
        <v>46300</v>
      </c>
      <c r="H10" s="45" t="n">
        <f aca="false">MAX(制作工程表!H9:H12)</f>
        <v>46315</v>
      </c>
      <c r="I10" s="45" t="n">
        <f aca="false">IF(MAX(制作工程表!I9:I12)=0,"—",MAX(制作工程表!I9:I12))</f>
        <v>46314</v>
      </c>
      <c r="J10" s="46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</row>
    <row r="11" customFormat="false" ht="25.5" hidden="false" customHeight="true" outlineLevel="0" collapsed="false">
      <c r="A11" s="48" t="str">
        <f aca="false">制作工程表!A9</f>
        <v>T01</v>
      </c>
      <c r="B11" s="49" t="str">
        <f aca="false">制作工程表!B9</f>
        <v>企画</v>
      </c>
      <c r="C11" s="50" t="str">
        <f aca="false">制作工程表!C9</f>
        <v>キックオフ・採用課題確認</v>
      </c>
      <c r="D11" s="51" t="str">
        <f aca="false">制作工程表!D9</f>
        <v>編集ディレクター</v>
      </c>
      <c r="E11" s="51" t="str">
        <f aca="false">制作工程表!E9</f>
        <v>採用担当</v>
      </c>
      <c r="F11" s="52" t="str">
        <f aca="false">IF(制作工程表!B9="取材撮影","撮影",IF(OR(制作工程表!D9="採用担当",制作工程表!D9="総務窓口",制作工程表!D9="工場長"),"企業","制作"))</f>
        <v>制作</v>
      </c>
      <c r="G11" s="53" t="n">
        <f aca="false">制作工程表!G9</f>
        <v>46300</v>
      </c>
      <c r="H11" s="53" t="n">
        <f aca="false">制作工程表!H9</f>
        <v>46300</v>
      </c>
      <c r="I11" s="54" t="str">
        <f aca="false">制作工程表!I9</f>
        <v>—</v>
      </c>
      <c r="J11" s="49" t="str">
        <f aca="false">制作工程表!K9</f>
        <v>未着手</v>
      </c>
      <c r="K11" s="55" t="str">
        <f aca="false">IF(AND(K$7=$I11,OR(ISNUMBER(SEARCH("採用",$E11)),ISNUMBER(SEARCH("総務",$E11)),ISNUMBER(SEARCH("工場長",$E11)),ISNUMBER(SEARCH("社長",$E11)),ISNUMBER(SEARCH("出演",$E11)))),"◆","")</f>
        <v/>
      </c>
      <c r="L11" s="55" t="str">
        <f aca="false">IF(AND(L$7=$I11,OR(ISNUMBER(SEARCH("採用",$E11)),ISNUMBER(SEARCH("総務",$E11)),ISNUMBER(SEARCH("工場長",$E11)),ISNUMBER(SEARCH("社長",$E11)),ISNUMBER(SEARCH("出演",$E11)))),"◆","")</f>
        <v/>
      </c>
      <c r="M11" s="55" t="str">
        <f aca="false">IF(AND(M$7=$I11,OR(ISNUMBER(SEARCH("採用",$E11)),ISNUMBER(SEARCH("総務",$E11)),ISNUMBER(SEARCH("工場長",$E11)),ISNUMBER(SEARCH("社長",$E11)),ISNUMBER(SEARCH("出演",$E11)))),"◆","")</f>
        <v/>
      </c>
      <c r="N11" s="55" t="str">
        <f aca="false">IF(AND(N$7=$I11,OR(ISNUMBER(SEARCH("採用",$E11)),ISNUMBER(SEARCH("総務",$E11)),ISNUMBER(SEARCH("工場長",$E11)),ISNUMBER(SEARCH("社長",$E11)),ISNUMBER(SEARCH("出演",$E11)))),"◆","")</f>
        <v/>
      </c>
      <c r="O11" s="55" t="str">
        <f aca="false">IF(AND(O$7=$I11,OR(ISNUMBER(SEARCH("採用",$E11)),ISNUMBER(SEARCH("総務",$E11)),ISNUMBER(SEARCH("工場長",$E11)),ISNUMBER(SEARCH("社長",$E11)),ISNUMBER(SEARCH("出演",$E11)))),"◆","")</f>
        <v/>
      </c>
      <c r="P11" s="55" t="str">
        <f aca="false">IF(AND(P$7=$I11,OR(ISNUMBER(SEARCH("採用",$E11)),ISNUMBER(SEARCH("総務",$E11)),ISNUMBER(SEARCH("工場長",$E11)),ISNUMBER(SEARCH("社長",$E11)),ISNUMBER(SEARCH("出演",$E11)))),"◆","")</f>
        <v/>
      </c>
      <c r="Q11" s="55" t="str">
        <f aca="false">IF(AND(Q$7=$I11,OR(ISNUMBER(SEARCH("採用",$E11)),ISNUMBER(SEARCH("総務",$E11)),ISNUMBER(SEARCH("工場長",$E11)),ISNUMBER(SEARCH("社長",$E11)),ISNUMBER(SEARCH("出演",$E11)))),"◆","")</f>
        <v/>
      </c>
      <c r="R11" s="55" t="str">
        <f aca="false">IF(AND(R$7=$I11,OR(ISNUMBER(SEARCH("採用",$E11)),ISNUMBER(SEARCH("総務",$E11)),ISNUMBER(SEARCH("工場長",$E11)),ISNUMBER(SEARCH("社長",$E11)),ISNUMBER(SEARCH("出演",$E11)))),"◆","")</f>
        <v/>
      </c>
      <c r="S11" s="55" t="str">
        <f aca="false">IF(AND(S$7=$I11,OR(ISNUMBER(SEARCH("採用",$E11)),ISNUMBER(SEARCH("総務",$E11)),ISNUMBER(SEARCH("工場長",$E11)),ISNUMBER(SEARCH("社長",$E11)),ISNUMBER(SEARCH("出演",$E11)))),"◆","")</f>
        <v/>
      </c>
      <c r="T11" s="55" t="str">
        <f aca="false">IF(AND(T$7=$I11,OR(ISNUMBER(SEARCH("採用",$E11)),ISNUMBER(SEARCH("総務",$E11)),ISNUMBER(SEARCH("工場長",$E11)),ISNUMBER(SEARCH("社長",$E11)),ISNUMBER(SEARCH("出演",$E11)))),"◆","")</f>
        <v/>
      </c>
      <c r="U11" s="55" t="str">
        <f aca="false">IF(AND(U$7=$I11,OR(ISNUMBER(SEARCH("採用",$E11)),ISNUMBER(SEARCH("総務",$E11)),ISNUMBER(SEARCH("工場長",$E11)),ISNUMBER(SEARCH("社長",$E11)),ISNUMBER(SEARCH("出演",$E11)))),"◆","")</f>
        <v/>
      </c>
      <c r="V11" s="55" t="str">
        <f aca="false">IF(AND(V$7=$I11,OR(ISNUMBER(SEARCH("採用",$E11)),ISNUMBER(SEARCH("総務",$E11)),ISNUMBER(SEARCH("工場長",$E11)),ISNUMBER(SEARCH("社長",$E11)),ISNUMBER(SEARCH("出演",$E11)))),"◆","")</f>
        <v/>
      </c>
      <c r="W11" s="55" t="str">
        <f aca="false">IF(AND(W$7=$I11,OR(ISNUMBER(SEARCH("採用",$E11)),ISNUMBER(SEARCH("総務",$E11)),ISNUMBER(SEARCH("工場長",$E11)),ISNUMBER(SEARCH("社長",$E11)),ISNUMBER(SEARCH("出演",$E11)))),"◆","")</f>
        <v/>
      </c>
      <c r="X11" s="55" t="str">
        <f aca="false">IF(AND(X$7=$I11,OR(ISNUMBER(SEARCH("採用",$E11)),ISNUMBER(SEARCH("総務",$E11)),ISNUMBER(SEARCH("工場長",$E11)),ISNUMBER(SEARCH("社長",$E11)),ISNUMBER(SEARCH("出演",$E11)))),"◆","")</f>
        <v/>
      </c>
      <c r="Y11" s="55" t="str">
        <f aca="false">IF(AND(Y$7=$I11,OR(ISNUMBER(SEARCH("採用",$E11)),ISNUMBER(SEARCH("総務",$E11)),ISNUMBER(SEARCH("工場長",$E11)),ISNUMBER(SEARCH("社長",$E11)),ISNUMBER(SEARCH("出演",$E11)))),"◆","")</f>
        <v/>
      </c>
      <c r="Z11" s="55" t="str">
        <f aca="false">IF(AND(Z$7=$I11,OR(ISNUMBER(SEARCH("採用",$E11)),ISNUMBER(SEARCH("総務",$E11)),ISNUMBER(SEARCH("工場長",$E11)),ISNUMBER(SEARCH("社長",$E11)),ISNUMBER(SEARCH("出演",$E11)))),"◆","")</f>
        <v/>
      </c>
      <c r="AA11" s="55" t="str">
        <f aca="false">IF(AND(AA$7=$I11,OR(ISNUMBER(SEARCH("採用",$E11)),ISNUMBER(SEARCH("総務",$E11)),ISNUMBER(SEARCH("工場長",$E11)),ISNUMBER(SEARCH("社長",$E11)),ISNUMBER(SEARCH("出演",$E11)))),"◆","")</f>
        <v/>
      </c>
      <c r="AB11" s="55" t="str">
        <f aca="false">IF(AND(AB$7=$I11,OR(ISNUMBER(SEARCH("採用",$E11)),ISNUMBER(SEARCH("総務",$E11)),ISNUMBER(SEARCH("工場長",$E11)),ISNUMBER(SEARCH("社長",$E11)),ISNUMBER(SEARCH("出演",$E11)))),"◆","")</f>
        <v/>
      </c>
      <c r="AC11" s="55" t="str">
        <f aca="false">IF(AND(AC$7=$I11,OR(ISNUMBER(SEARCH("採用",$E11)),ISNUMBER(SEARCH("総務",$E11)),ISNUMBER(SEARCH("工場長",$E11)),ISNUMBER(SEARCH("社長",$E11)),ISNUMBER(SEARCH("出演",$E11)))),"◆","")</f>
        <v/>
      </c>
      <c r="AD11" s="55" t="str">
        <f aca="false">IF(AND(AD$7=$I11,OR(ISNUMBER(SEARCH("採用",$E11)),ISNUMBER(SEARCH("総務",$E11)),ISNUMBER(SEARCH("工場長",$E11)),ISNUMBER(SEARCH("社長",$E11)),ISNUMBER(SEARCH("出演",$E11)))),"◆","")</f>
        <v/>
      </c>
      <c r="AE11" s="55" t="str">
        <f aca="false">IF(AND(AE$7=$I11,OR(ISNUMBER(SEARCH("採用",$E11)),ISNUMBER(SEARCH("総務",$E11)),ISNUMBER(SEARCH("工場長",$E11)),ISNUMBER(SEARCH("社長",$E11)),ISNUMBER(SEARCH("出演",$E11)))),"◆","")</f>
        <v/>
      </c>
      <c r="AF11" s="55" t="str">
        <f aca="false">IF(AND(AF$7=$I11,OR(ISNUMBER(SEARCH("採用",$E11)),ISNUMBER(SEARCH("総務",$E11)),ISNUMBER(SEARCH("工場長",$E11)),ISNUMBER(SEARCH("社長",$E11)),ISNUMBER(SEARCH("出演",$E11)))),"◆","")</f>
        <v/>
      </c>
      <c r="AG11" s="55" t="str">
        <f aca="false">IF(AND(AG$7=$I11,OR(ISNUMBER(SEARCH("採用",$E11)),ISNUMBER(SEARCH("総務",$E11)),ISNUMBER(SEARCH("工場長",$E11)),ISNUMBER(SEARCH("社長",$E11)),ISNUMBER(SEARCH("出演",$E11)))),"◆","")</f>
        <v/>
      </c>
      <c r="AH11" s="55" t="str">
        <f aca="false">IF(AND(AH$7=$I11,OR(ISNUMBER(SEARCH("採用",$E11)),ISNUMBER(SEARCH("総務",$E11)),ISNUMBER(SEARCH("工場長",$E11)),ISNUMBER(SEARCH("社長",$E11)),ISNUMBER(SEARCH("出演",$E11)))),"◆","")</f>
        <v/>
      </c>
      <c r="AI11" s="55" t="str">
        <f aca="false">IF(AND(AI$7=$I11,OR(ISNUMBER(SEARCH("採用",$E11)),ISNUMBER(SEARCH("総務",$E11)),ISNUMBER(SEARCH("工場長",$E11)),ISNUMBER(SEARCH("社長",$E11)),ISNUMBER(SEARCH("出演",$E11)))),"◆","")</f>
        <v/>
      </c>
      <c r="AJ11" s="55" t="str">
        <f aca="false">IF(AND(AJ$7=$I11,OR(ISNUMBER(SEARCH("採用",$E11)),ISNUMBER(SEARCH("総務",$E11)),ISNUMBER(SEARCH("工場長",$E11)),ISNUMBER(SEARCH("社長",$E11)),ISNUMBER(SEARCH("出演",$E11)))),"◆","")</f>
        <v/>
      </c>
      <c r="AK11" s="55" t="str">
        <f aca="false">IF(AND(AK$7=$I11,OR(ISNUMBER(SEARCH("採用",$E11)),ISNUMBER(SEARCH("総務",$E11)),ISNUMBER(SEARCH("工場長",$E11)),ISNUMBER(SEARCH("社長",$E11)),ISNUMBER(SEARCH("出演",$E11)))),"◆","")</f>
        <v/>
      </c>
      <c r="AL11" s="55" t="str">
        <f aca="false">IF(AND(AL$7=$I11,OR(ISNUMBER(SEARCH("採用",$E11)),ISNUMBER(SEARCH("総務",$E11)),ISNUMBER(SEARCH("工場長",$E11)),ISNUMBER(SEARCH("社長",$E11)),ISNUMBER(SEARCH("出演",$E11)))),"◆","")</f>
        <v/>
      </c>
      <c r="AM11" s="55" t="str">
        <f aca="false">IF(AND(AM$7=$I11,OR(ISNUMBER(SEARCH("採用",$E11)),ISNUMBER(SEARCH("総務",$E11)),ISNUMBER(SEARCH("工場長",$E11)),ISNUMBER(SEARCH("社長",$E11)),ISNUMBER(SEARCH("出演",$E11)))),"◆","")</f>
        <v/>
      </c>
      <c r="AN11" s="55" t="str">
        <f aca="false">IF(AND(AN$7=$I11,OR(ISNUMBER(SEARCH("採用",$E11)),ISNUMBER(SEARCH("総務",$E11)),ISNUMBER(SEARCH("工場長",$E11)),ISNUMBER(SEARCH("社長",$E11)),ISNUMBER(SEARCH("出演",$E11)))),"◆","")</f>
        <v/>
      </c>
      <c r="AO11" s="55" t="str">
        <f aca="false">IF(AND(AO$7=$I11,OR(ISNUMBER(SEARCH("採用",$E11)),ISNUMBER(SEARCH("総務",$E11)),ISNUMBER(SEARCH("工場長",$E11)),ISNUMBER(SEARCH("社長",$E11)),ISNUMBER(SEARCH("出演",$E11)))),"◆","")</f>
        <v/>
      </c>
      <c r="AP11" s="55" t="str">
        <f aca="false">IF(AND(AP$7=$I11,OR(ISNUMBER(SEARCH("採用",$E11)),ISNUMBER(SEARCH("総務",$E11)),ISNUMBER(SEARCH("工場長",$E11)),ISNUMBER(SEARCH("社長",$E11)),ISNUMBER(SEARCH("出演",$E11)))),"◆","")</f>
        <v/>
      </c>
      <c r="AQ11" s="55" t="str">
        <f aca="false">IF(AND(AQ$7=$I11,OR(ISNUMBER(SEARCH("採用",$E11)),ISNUMBER(SEARCH("総務",$E11)),ISNUMBER(SEARCH("工場長",$E11)),ISNUMBER(SEARCH("社長",$E11)),ISNUMBER(SEARCH("出演",$E11)))),"◆","")</f>
        <v/>
      </c>
      <c r="AR11" s="55" t="str">
        <f aca="false">IF(AND(AR$7=$I11,OR(ISNUMBER(SEARCH("採用",$E11)),ISNUMBER(SEARCH("総務",$E11)),ISNUMBER(SEARCH("工場長",$E11)),ISNUMBER(SEARCH("社長",$E11)),ISNUMBER(SEARCH("出演",$E11)))),"◆","")</f>
        <v/>
      </c>
      <c r="AS11" s="55" t="str">
        <f aca="false">IF(AND(AS$7=$I11,OR(ISNUMBER(SEARCH("採用",$E11)),ISNUMBER(SEARCH("総務",$E11)),ISNUMBER(SEARCH("工場長",$E11)),ISNUMBER(SEARCH("社長",$E11)),ISNUMBER(SEARCH("出演",$E11)))),"◆","")</f>
        <v/>
      </c>
      <c r="AT11" s="55" t="str">
        <f aca="false">IF(AND(AT$7=$I11,OR(ISNUMBER(SEARCH("採用",$E11)),ISNUMBER(SEARCH("総務",$E11)),ISNUMBER(SEARCH("工場長",$E11)),ISNUMBER(SEARCH("社長",$E11)),ISNUMBER(SEARCH("出演",$E11)))),"◆","")</f>
        <v/>
      </c>
      <c r="AU11" s="55" t="str">
        <f aca="false">IF(AND(AU$7=$I11,OR(ISNUMBER(SEARCH("採用",$E11)),ISNUMBER(SEARCH("総務",$E11)),ISNUMBER(SEARCH("工場長",$E11)),ISNUMBER(SEARCH("社長",$E11)),ISNUMBER(SEARCH("出演",$E11)))),"◆","")</f>
        <v/>
      </c>
      <c r="AV11" s="55" t="str">
        <f aca="false">IF(AND(AV$7=$I11,OR(ISNUMBER(SEARCH("採用",$E11)),ISNUMBER(SEARCH("総務",$E11)),ISNUMBER(SEARCH("工場長",$E11)),ISNUMBER(SEARCH("社長",$E11)),ISNUMBER(SEARCH("出演",$E11)))),"◆","")</f>
        <v/>
      </c>
      <c r="AW11" s="55" t="str">
        <f aca="false">IF(AND(AW$7=$I11,OR(ISNUMBER(SEARCH("採用",$E11)),ISNUMBER(SEARCH("総務",$E11)),ISNUMBER(SEARCH("工場長",$E11)),ISNUMBER(SEARCH("社長",$E11)),ISNUMBER(SEARCH("出演",$E11)))),"◆","")</f>
        <v/>
      </c>
      <c r="AX11" s="55" t="str">
        <f aca="false">IF(AND(AX$7=$I11,OR(ISNUMBER(SEARCH("採用",$E11)),ISNUMBER(SEARCH("総務",$E11)),ISNUMBER(SEARCH("工場長",$E11)),ISNUMBER(SEARCH("社長",$E11)),ISNUMBER(SEARCH("出演",$E11)))),"◆","")</f>
        <v/>
      </c>
      <c r="AY11" s="55" t="str">
        <f aca="false">IF(AND(AY$7=$I11,OR(ISNUMBER(SEARCH("採用",$E11)),ISNUMBER(SEARCH("総務",$E11)),ISNUMBER(SEARCH("工場長",$E11)),ISNUMBER(SEARCH("社長",$E11)),ISNUMBER(SEARCH("出演",$E11)))),"◆","")</f>
        <v/>
      </c>
      <c r="AZ11" s="55" t="str">
        <f aca="false">IF(AND(AZ$7=$I11,OR(ISNUMBER(SEARCH("採用",$E11)),ISNUMBER(SEARCH("総務",$E11)),ISNUMBER(SEARCH("工場長",$E11)),ISNUMBER(SEARCH("社長",$E11)),ISNUMBER(SEARCH("出演",$E11)))),"◆","")</f>
        <v/>
      </c>
      <c r="BA11" s="55" t="str">
        <f aca="false">IF(AND(BA$7=$I11,OR(ISNUMBER(SEARCH("採用",$E11)),ISNUMBER(SEARCH("総務",$E11)),ISNUMBER(SEARCH("工場長",$E11)),ISNUMBER(SEARCH("社長",$E11)),ISNUMBER(SEARCH("出演",$E11)))),"◆","")</f>
        <v/>
      </c>
      <c r="BB11" s="55" t="str">
        <f aca="false">IF(AND(BB$7=$I11,OR(ISNUMBER(SEARCH("採用",$E11)),ISNUMBER(SEARCH("総務",$E11)),ISNUMBER(SEARCH("工場長",$E11)),ISNUMBER(SEARCH("社長",$E11)),ISNUMBER(SEARCH("出演",$E11)))),"◆","")</f>
        <v/>
      </c>
      <c r="BC11" s="55" t="str">
        <f aca="false">IF(AND(BC$7=$I11,OR(ISNUMBER(SEARCH("採用",$E11)),ISNUMBER(SEARCH("総務",$E11)),ISNUMBER(SEARCH("工場長",$E11)),ISNUMBER(SEARCH("社長",$E11)),ISNUMBER(SEARCH("出演",$E11)))),"◆","")</f>
        <v/>
      </c>
      <c r="BD11" s="55" t="str">
        <f aca="false">IF(AND(BD$7=$I11,OR(ISNUMBER(SEARCH("採用",$E11)),ISNUMBER(SEARCH("総務",$E11)),ISNUMBER(SEARCH("工場長",$E11)),ISNUMBER(SEARCH("社長",$E11)),ISNUMBER(SEARCH("出演",$E11)))),"◆","")</f>
        <v/>
      </c>
      <c r="BE11" s="55" t="str">
        <f aca="false">IF(AND(BE$7=$I11,OR(ISNUMBER(SEARCH("採用",$E11)),ISNUMBER(SEARCH("総務",$E11)),ISNUMBER(SEARCH("工場長",$E11)),ISNUMBER(SEARCH("社長",$E11)),ISNUMBER(SEARCH("出演",$E11)))),"◆","")</f>
        <v/>
      </c>
      <c r="BF11" s="55" t="str">
        <f aca="false">IF(AND(BF$7=$I11,OR(ISNUMBER(SEARCH("採用",$E11)),ISNUMBER(SEARCH("総務",$E11)),ISNUMBER(SEARCH("工場長",$E11)),ISNUMBER(SEARCH("社長",$E11)),ISNUMBER(SEARCH("出演",$E11)))),"◆","")</f>
        <v/>
      </c>
      <c r="BG11" s="55" t="str">
        <f aca="false">IF(AND(BG$7=$I11,OR(ISNUMBER(SEARCH("採用",$E11)),ISNUMBER(SEARCH("総務",$E11)),ISNUMBER(SEARCH("工場長",$E11)),ISNUMBER(SEARCH("社長",$E11)),ISNUMBER(SEARCH("出演",$E11)))),"◆","")</f>
        <v/>
      </c>
      <c r="BH11" s="55" t="str">
        <f aca="false">IF(AND(BH$7=$I11,OR(ISNUMBER(SEARCH("採用",$E11)),ISNUMBER(SEARCH("総務",$E11)),ISNUMBER(SEARCH("工場長",$E11)),ISNUMBER(SEARCH("社長",$E11)),ISNUMBER(SEARCH("出演",$E11)))),"◆","")</f>
        <v/>
      </c>
      <c r="BI11" s="55" t="str">
        <f aca="false">IF(AND(BI$7=$I11,OR(ISNUMBER(SEARCH("採用",$E11)),ISNUMBER(SEARCH("総務",$E11)),ISNUMBER(SEARCH("工場長",$E11)),ISNUMBER(SEARCH("社長",$E11)),ISNUMBER(SEARCH("出演",$E11)))),"◆","")</f>
        <v/>
      </c>
      <c r="BJ11" s="55" t="str">
        <f aca="false">IF(AND(BJ$7=$I11,OR(ISNUMBER(SEARCH("採用",$E11)),ISNUMBER(SEARCH("総務",$E11)),ISNUMBER(SEARCH("工場長",$E11)),ISNUMBER(SEARCH("社長",$E11)),ISNUMBER(SEARCH("出演",$E11)))),"◆","")</f>
        <v/>
      </c>
      <c r="BK11" s="55" t="str">
        <f aca="false">IF(AND(BK$7=$I11,OR(ISNUMBER(SEARCH("採用",$E11)),ISNUMBER(SEARCH("総務",$E11)),ISNUMBER(SEARCH("工場長",$E11)),ISNUMBER(SEARCH("社長",$E11)),ISNUMBER(SEARCH("出演",$E11)))),"◆","")</f>
        <v/>
      </c>
      <c r="BL11" s="55" t="str">
        <f aca="false">IF(AND(BL$7=$I11,OR(ISNUMBER(SEARCH("採用",$E11)),ISNUMBER(SEARCH("総務",$E11)),ISNUMBER(SEARCH("工場長",$E11)),ISNUMBER(SEARCH("社長",$E11)),ISNUMBER(SEARCH("出演",$E11)))),"◆","")</f>
        <v/>
      </c>
      <c r="BM11" s="55" t="str">
        <f aca="false">IF(AND(BM$7=$I11,OR(ISNUMBER(SEARCH("採用",$E11)),ISNUMBER(SEARCH("総務",$E11)),ISNUMBER(SEARCH("工場長",$E11)),ISNUMBER(SEARCH("社長",$E11)),ISNUMBER(SEARCH("出演",$E11)))),"◆","")</f>
        <v/>
      </c>
      <c r="BN11" s="55" t="str">
        <f aca="false">IF(AND(BN$7=$I11,OR(ISNUMBER(SEARCH("採用",$E11)),ISNUMBER(SEARCH("総務",$E11)),ISNUMBER(SEARCH("工場長",$E11)),ISNUMBER(SEARCH("社長",$E11)),ISNUMBER(SEARCH("出演",$E11)))),"◆","")</f>
        <v/>
      </c>
      <c r="BO11" s="55" t="str">
        <f aca="false">IF(AND(BO$7=$I11,OR(ISNUMBER(SEARCH("採用",$E11)),ISNUMBER(SEARCH("総務",$E11)),ISNUMBER(SEARCH("工場長",$E11)),ISNUMBER(SEARCH("社長",$E11)),ISNUMBER(SEARCH("出演",$E11)))),"◆","")</f>
        <v/>
      </c>
      <c r="BP11" s="55" t="str">
        <f aca="false">IF(AND(BP$7=$I11,OR(ISNUMBER(SEARCH("採用",$E11)),ISNUMBER(SEARCH("総務",$E11)),ISNUMBER(SEARCH("工場長",$E11)),ISNUMBER(SEARCH("社長",$E11)),ISNUMBER(SEARCH("出演",$E11)))),"◆","")</f>
        <v/>
      </c>
      <c r="BQ11" s="55" t="str">
        <f aca="false">IF(AND(BQ$7=$I11,OR(ISNUMBER(SEARCH("採用",$E11)),ISNUMBER(SEARCH("総務",$E11)),ISNUMBER(SEARCH("工場長",$E11)),ISNUMBER(SEARCH("社長",$E11)),ISNUMBER(SEARCH("出演",$E11)))),"◆","")</f>
        <v/>
      </c>
      <c r="BR11" s="55" t="str">
        <f aca="false">IF(AND(BR$7=$I11,OR(ISNUMBER(SEARCH("採用",$E11)),ISNUMBER(SEARCH("総務",$E11)),ISNUMBER(SEARCH("工場長",$E11)),ISNUMBER(SEARCH("社長",$E11)),ISNUMBER(SEARCH("出演",$E11)))),"◆","")</f>
        <v/>
      </c>
      <c r="BS11" s="55" t="str">
        <f aca="false">IF(AND(BS$7=$I11,OR(ISNUMBER(SEARCH("採用",$E11)),ISNUMBER(SEARCH("総務",$E11)),ISNUMBER(SEARCH("工場長",$E11)),ISNUMBER(SEARCH("社長",$E11)),ISNUMBER(SEARCH("出演",$E11)))),"◆","")</f>
        <v/>
      </c>
      <c r="BT11" s="55" t="str">
        <f aca="false">IF(AND(BT$7=$I11,OR(ISNUMBER(SEARCH("採用",$E11)),ISNUMBER(SEARCH("総務",$E11)),ISNUMBER(SEARCH("工場長",$E11)),ISNUMBER(SEARCH("社長",$E11)),ISNUMBER(SEARCH("出演",$E11)))),"◆","")</f>
        <v/>
      </c>
      <c r="BU11" s="55" t="str">
        <f aca="false">IF(AND(BU$7=$I11,OR(ISNUMBER(SEARCH("採用",$E11)),ISNUMBER(SEARCH("総務",$E11)),ISNUMBER(SEARCH("工場長",$E11)),ISNUMBER(SEARCH("社長",$E11)),ISNUMBER(SEARCH("出演",$E11)))),"◆","")</f>
        <v/>
      </c>
      <c r="BV11" s="55" t="str">
        <f aca="false">IF(AND(BV$7=$I11,OR(ISNUMBER(SEARCH("採用",$E11)),ISNUMBER(SEARCH("総務",$E11)),ISNUMBER(SEARCH("工場長",$E11)),ISNUMBER(SEARCH("社長",$E11)),ISNUMBER(SEARCH("出演",$E11)))),"◆","")</f>
        <v/>
      </c>
      <c r="BW11" s="55" t="str">
        <f aca="false">IF(AND(BW$7=$I11,OR(ISNUMBER(SEARCH("採用",$E11)),ISNUMBER(SEARCH("総務",$E11)),ISNUMBER(SEARCH("工場長",$E11)),ISNUMBER(SEARCH("社長",$E11)),ISNUMBER(SEARCH("出演",$E11)))),"◆","")</f>
        <v/>
      </c>
      <c r="BX11" s="55" t="str">
        <f aca="false">IF(AND(BX$7=$I11,OR(ISNUMBER(SEARCH("採用",$E11)),ISNUMBER(SEARCH("総務",$E11)),ISNUMBER(SEARCH("工場長",$E11)),ISNUMBER(SEARCH("社長",$E11)),ISNUMBER(SEARCH("出演",$E11)))),"◆","")</f>
        <v/>
      </c>
      <c r="BY11" s="55" t="str">
        <f aca="false">IF(AND(BY$7=$I11,OR(ISNUMBER(SEARCH("採用",$E11)),ISNUMBER(SEARCH("総務",$E11)),ISNUMBER(SEARCH("工場長",$E11)),ISNUMBER(SEARCH("社長",$E11)),ISNUMBER(SEARCH("出演",$E11)))),"◆","")</f>
        <v/>
      </c>
      <c r="BZ11" s="55" t="str">
        <f aca="false">IF(AND(BZ$7=$I11,OR(ISNUMBER(SEARCH("採用",$E11)),ISNUMBER(SEARCH("総務",$E11)),ISNUMBER(SEARCH("工場長",$E11)),ISNUMBER(SEARCH("社長",$E11)),ISNUMBER(SEARCH("出演",$E11)))),"◆","")</f>
        <v/>
      </c>
      <c r="CA11" s="55" t="str">
        <f aca="false">IF(AND(CA$7=$I11,OR(ISNUMBER(SEARCH("採用",$E11)),ISNUMBER(SEARCH("総務",$E11)),ISNUMBER(SEARCH("工場長",$E11)),ISNUMBER(SEARCH("社長",$E11)),ISNUMBER(SEARCH("出演",$E11)))),"◆","")</f>
        <v/>
      </c>
      <c r="CB11" s="55" t="str">
        <f aca="false">IF(AND(CB$7=$I11,OR(ISNUMBER(SEARCH("採用",$E11)),ISNUMBER(SEARCH("総務",$E11)),ISNUMBER(SEARCH("工場長",$E11)),ISNUMBER(SEARCH("社長",$E11)),ISNUMBER(SEARCH("出演",$E11)))),"◆","")</f>
        <v/>
      </c>
      <c r="CC11" s="55" t="str">
        <f aca="false">IF(AND(CC$7=$I11,OR(ISNUMBER(SEARCH("採用",$E11)),ISNUMBER(SEARCH("総務",$E11)),ISNUMBER(SEARCH("工場長",$E11)),ISNUMBER(SEARCH("社長",$E11)),ISNUMBER(SEARCH("出演",$E11)))),"◆","")</f>
        <v/>
      </c>
      <c r="CD11" s="55" t="str">
        <f aca="false">IF(AND(CD$7=$I11,OR(ISNUMBER(SEARCH("採用",$E11)),ISNUMBER(SEARCH("総務",$E11)),ISNUMBER(SEARCH("工場長",$E11)),ISNUMBER(SEARCH("社長",$E11)),ISNUMBER(SEARCH("出演",$E11)))),"◆","")</f>
        <v/>
      </c>
      <c r="CE11" s="55" t="str">
        <f aca="false">IF(AND(CE$7=$I11,OR(ISNUMBER(SEARCH("採用",$E11)),ISNUMBER(SEARCH("総務",$E11)),ISNUMBER(SEARCH("工場長",$E11)),ISNUMBER(SEARCH("社長",$E11)),ISNUMBER(SEARCH("出演",$E11)))),"◆","")</f>
        <v/>
      </c>
      <c r="CF11" s="55" t="str">
        <f aca="false">IF(AND(CF$7=$I11,OR(ISNUMBER(SEARCH("採用",$E11)),ISNUMBER(SEARCH("総務",$E11)),ISNUMBER(SEARCH("工場長",$E11)),ISNUMBER(SEARCH("社長",$E11)),ISNUMBER(SEARCH("出演",$E11)))),"◆","")</f>
        <v/>
      </c>
      <c r="CG11" s="55" t="str">
        <f aca="false">IF(AND(CG$7=$I11,OR(ISNUMBER(SEARCH("採用",$E11)),ISNUMBER(SEARCH("総務",$E11)),ISNUMBER(SEARCH("工場長",$E11)),ISNUMBER(SEARCH("社長",$E11)),ISNUMBER(SEARCH("出演",$E11)))),"◆","")</f>
        <v/>
      </c>
      <c r="CH11" s="55" t="str">
        <f aca="false">IF(AND(CH$7=$I11,OR(ISNUMBER(SEARCH("採用",$E11)),ISNUMBER(SEARCH("総務",$E11)),ISNUMBER(SEARCH("工場長",$E11)),ISNUMBER(SEARCH("社長",$E11)),ISNUMBER(SEARCH("出演",$E11)))),"◆","")</f>
        <v/>
      </c>
      <c r="CI11" s="55" t="str">
        <f aca="false">IF(AND(CI$7=$I11,OR(ISNUMBER(SEARCH("採用",$E11)),ISNUMBER(SEARCH("総務",$E11)),ISNUMBER(SEARCH("工場長",$E11)),ISNUMBER(SEARCH("社長",$E11)),ISNUMBER(SEARCH("出演",$E11)))),"◆","")</f>
        <v/>
      </c>
      <c r="CJ11" s="55" t="str">
        <f aca="false">IF(AND(CJ$7=$I11,OR(ISNUMBER(SEARCH("採用",$E11)),ISNUMBER(SEARCH("総務",$E11)),ISNUMBER(SEARCH("工場長",$E11)),ISNUMBER(SEARCH("社長",$E11)),ISNUMBER(SEARCH("出演",$E11)))),"◆","")</f>
        <v/>
      </c>
      <c r="CK11" s="55" t="str">
        <f aca="false">IF(AND(CK$7=$I11,OR(ISNUMBER(SEARCH("採用",$E11)),ISNUMBER(SEARCH("総務",$E11)),ISNUMBER(SEARCH("工場長",$E11)),ISNUMBER(SEARCH("社長",$E11)),ISNUMBER(SEARCH("出演",$E11)))),"◆","")</f>
        <v/>
      </c>
      <c r="CL11" s="55" t="str">
        <f aca="false">IF(AND(CL$7=$I11,OR(ISNUMBER(SEARCH("採用",$E11)),ISNUMBER(SEARCH("総務",$E11)),ISNUMBER(SEARCH("工場長",$E11)),ISNUMBER(SEARCH("社長",$E11)),ISNUMBER(SEARCH("出演",$E11)))),"◆","")</f>
        <v/>
      </c>
      <c r="CM11" s="55" t="str">
        <f aca="false">IF(AND(CM$7=$I11,OR(ISNUMBER(SEARCH("採用",$E11)),ISNUMBER(SEARCH("総務",$E11)),ISNUMBER(SEARCH("工場長",$E11)),ISNUMBER(SEARCH("社長",$E11)),ISNUMBER(SEARCH("出演",$E11)))),"◆","")</f>
        <v/>
      </c>
      <c r="CN11" s="55" t="str">
        <f aca="false">IF(AND(CN$7=$I11,OR(ISNUMBER(SEARCH("採用",$E11)),ISNUMBER(SEARCH("総務",$E11)),ISNUMBER(SEARCH("工場長",$E11)),ISNUMBER(SEARCH("社長",$E11)),ISNUMBER(SEARCH("出演",$E11)))),"◆","")</f>
        <v/>
      </c>
      <c r="CO11" s="55" t="str">
        <f aca="false">IF(AND(CO$7=$I11,OR(ISNUMBER(SEARCH("採用",$E11)),ISNUMBER(SEARCH("総務",$E11)),ISNUMBER(SEARCH("工場長",$E11)),ISNUMBER(SEARCH("社長",$E11)),ISNUMBER(SEARCH("出演",$E11)))),"◆","")</f>
        <v/>
      </c>
      <c r="CP11" s="55" t="str">
        <f aca="false">IF(AND(CP$7=$I11,OR(ISNUMBER(SEARCH("採用",$E11)),ISNUMBER(SEARCH("総務",$E11)),ISNUMBER(SEARCH("工場長",$E11)),ISNUMBER(SEARCH("社長",$E11)),ISNUMBER(SEARCH("出演",$E11)))),"◆","")</f>
        <v/>
      </c>
    </row>
    <row r="12" customFormat="false" ht="25.5" hidden="false" customHeight="true" outlineLevel="0" collapsed="false">
      <c r="A12" s="48" t="str">
        <f aca="false">制作工程表!A10</f>
        <v>T02</v>
      </c>
      <c r="B12" s="49" t="str">
        <f aca="false">制作工程表!B10</f>
        <v>企画</v>
      </c>
      <c r="C12" s="50" t="str">
        <f aca="false">制作工程表!C10</f>
        <v>コンセプト・訴求・構成案の作成</v>
      </c>
      <c r="D12" s="51" t="str">
        <f aca="false">制作工程表!D10</f>
        <v>編集ディレクター</v>
      </c>
      <c r="E12" s="51" t="str">
        <f aca="false">制作工程表!E10</f>
        <v>—</v>
      </c>
      <c r="F12" s="52" t="str">
        <f aca="false">IF(制作工程表!B10="取材撮影","撮影",IF(OR(制作工程表!D10="採用担当",制作工程表!D10="総務窓口",制作工程表!D10="工場長"),"企業","制作"))</f>
        <v>制作</v>
      </c>
      <c r="G12" s="53" t="n">
        <f aca="false">制作工程表!G10</f>
        <v>46301</v>
      </c>
      <c r="H12" s="53" t="n">
        <f aca="false">制作工程表!H10</f>
        <v>46304</v>
      </c>
      <c r="I12" s="54" t="str">
        <f aca="false">制作工程表!I10</f>
        <v>—</v>
      </c>
      <c r="J12" s="49" t="str">
        <f aca="false">制作工程表!K10</f>
        <v>未着手</v>
      </c>
      <c r="K12" s="55" t="str">
        <f aca="false">IF(AND(K$7=$I12,OR(ISNUMBER(SEARCH("採用",$E12)),ISNUMBER(SEARCH("総務",$E12)),ISNUMBER(SEARCH("工場長",$E12)),ISNUMBER(SEARCH("社長",$E12)),ISNUMBER(SEARCH("出演",$E12)))),"◆","")</f>
        <v/>
      </c>
      <c r="L12" s="55" t="str">
        <f aca="false">IF(AND(L$7=$I12,OR(ISNUMBER(SEARCH("採用",$E12)),ISNUMBER(SEARCH("総務",$E12)),ISNUMBER(SEARCH("工場長",$E12)),ISNUMBER(SEARCH("社長",$E12)),ISNUMBER(SEARCH("出演",$E12)))),"◆","")</f>
        <v/>
      </c>
      <c r="M12" s="55" t="str">
        <f aca="false">IF(AND(M$7=$I12,OR(ISNUMBER(SEARCH("採用",$E12)),ISNUMBER(SEARCH("総務",$E12)),ISNUMBER(SEARCH("工場長",$E12)),ISNUMBER(SEARCH("社長",$E12)),ISNUMBER(SEARCH("出演",$E12)))),"◆","")</f>
        <v/>
      </c>
      <c r="N12" s="55" t="str">
        <f aca="false">IF(AND(N$7=$I12,OR(ISNUMBER(SEARCH("採用",$E12)),ISNUMBER(SEARCH("総務",$E12)),ISNUMBER(SEARCH("工場長",$E12)),ISNUMBER(SEARCH("社長",$E12)),ISNUMBER(SEARCH("出演",$E12)))),"◆","")</f>
        <v/>
      </c>
      <c r="O12" s="55" t="str">
        <f aca="false">IF(AND(O$7=$I12,OR(ISNUMBER(SEARCH("採用",$E12)),ISNUMBER(SEARCH("総務",$E12)),ISNUMBER(SEARCH("工場長",$E12)),ISNUMBER(SEARCH("社長",$E12)),ISNUMBER(SEARCH("出演",$E12)))),"◆","")</f>
        <v/>
      </c>
      <c r="P12" s="55" t="str">
        <f aca="false">IF(AND(P$7=$I12,OR(ISNUMBER(SEARCH("採用",$E12)),ISNUMBER(SEARCH("総務",$E12)),ISNUMBER(SEARCH("工場長",$E12)),ISNUMBER(SEARCH("社長",$E12)),ISNUMBER(SEARCH("出演",$E12)))),"◆","")</f>
        <v/>
      </c>
      <c r="Q12" s="55" t="str">
        <f aca="false">IF(AND(Q$7=$I12,OR(ISNUMBER(SEARCH("採用",$E12)),ISNUMBER(SEARCH("総務",$E12)),ISNUMBER(SEARCH("工場長",$E12)),ISNUMBER(SEARCH("社長",$E12)),ISNUMBER(SEARCH("出演",$E12)))),"◆","")</f>
        <v/>
      </c>
      <c r="R12" s="55" t="str">
        <f aca="false">IF(AND(R$7=$I12,OR(ISNUMBER(SEARCH("採用",$E12)),ISNUMBER(SEARCH("総務",$E12)),ISNUMBER(SEARCH("工場長",$E12)),ISNUMBER(SEARCH("社長",$E12)),ISNUMBER(SEARCH("出演",$E12)))),"◆","")</f>
        <v/>
      </c>
      <c r="S12" s="55" t="str">
        <f aca="false">IF(AND(S$7=$I12,OR(ISNUMBER(SEARCH("採用",$E12)),ISNUMBER(SEARCH("総務",$E12)),ISNUMBER(SEARCH("工場長",$E12)),ISNUMBER(SEARCH("社長",$E12)),ISNUMBER(SEARCH("出演",$E12)))),"◆","")</f>
        <v/>
      </c>
      <c r="T12" s="55" t="str">
        <f aca="false">IF(AND(T$7=$I12,OR(ISNUMBER(SEARCH("採用",$E12)),ISNUMBER(SEARCH("総務",$E12)),ISNUMBER(SEARCH("工場長",$E12)),ISNUMBER(SEARCH("社長",$E12)),ISNUMBER(SEARCH("出演",$E12)))),"◆","")</f>
        <v/>
      </c>
      <c r="U12" s="55" t="str">
        <f aca="false">IF(AND(U$7=$I12,OR(ISNUMBER(SEARCH("採用",$E12)),ISNUMBER(SEARCH("総務",$E12)),ISNUMBER(SEARCH("工場長",$E12)),ISNUMBER(SEARCH("社長",$E12)),ISNUMBER(SEARCH("出演",$E12)))),"◆","")</f>
        <v/>
      </c>
      <c r="V12" s="55" t="str">
        <f aca="false">IF(AND(V$7=$I12,OR(ISNUMBER(SEARCH("採用",$E12)),ISNUMBER(SEARCH("総務",$E12)),ISNUMBER(SEARCH("工場長",$E12)),ISNUMBER(SEARCH("社長",$E12)),ISNUMBER(SEARCH("出演",$E12)))),"◆","")</f>
        <v/>
      </c>
      <c r="W12" s="55" t="str">
        <f aca="false">IF(AND(W$7=$I12,OR(ISNUMBER(SEARCH("採用",$E12)),ISNUMBER(SEARCH("総務",$E12)),ISNUMBER(SEARCH("工場長",$E12)),ISNUMBER(SEARCH("社長",$E12)),ISNUMBER(SEARCH("出演",$E12)))),"◆","")</f>
        <v/>
      </c>
      <c r="X12" s="55" t="str">
        <f aca="false">IF(AND(X$7=$I12,OR(ISNUMBER(SEARCH("採用",$E12)),ISNUMBER(SEARCH("総務",$E12)),ISNUMBER(SEARCH("工場長",$E12)),ISNUMBER(SEARCH("社長",$E12)),ISNUMBER(SEARCH("出演",$E12)))),"◆","")</f>
        <v/>
      </c>
      <c r="Y12" s="55" t="str">
        <f aca="false">IF(AND(Y$7=$I12,OR(ISNUMBER(SEARCH("採用",$E12)),ISNUMBER(SEARCH("総務",$E12)),ISNUMBER(SEARCH("工場長",$E12)),ISNUMBER(SEARCH("社長",$E12)),ISNUMBER(SEARCH("出演",$E12)))),"◆","")</f>
        <v/>
      </c>
      <c r="Z12" s="55" t="str">
        <f aca="false">IF(AND(Z$7=$I12,OR(ISNUMBER(SEARCH("採用",$E12)),ISNUMBER(SEARCH("総務",$E12)),ISNUMBER(SEARCH("工場長",$E12)),ISNUMBER(SEARCH("社長",$E12)),ISNUMBER(SEARCH("出演",$E12)))),"◆","")</f>
        <v/>
      </c>
      <c r="AA12" s="55" t="str">
        <f aca="false">IF(AND(AA$7=$I12,OR(ISNUMBER(SEARCH("採用",$E12)),ISNUMBER(SEARCH("総務",$E12)),ISNUMBER(SEARCH("工場長",$E12)),ISNUMBER(SEARCH("社長",$E12)),ISNUMBER(SEARCH("出演",$E12)))),"◆","")</f>
        <v/>
      </c>
      <c r="AB12" s="55" t="str">
        <f aca="false">IF(AND(AB$7=$I12,OR(ISNUMBER(SEARCH("採用",$E12)),ISNUMBER(SEARCH("総務",$E12)),ISNUMBER(SEARCH("工場長",$E12)),ISNUMBER(SEARCH("社長",$E12)),ISNUMBER(SEARCH("出演",$E12)))),"◆","")</f>
        <v/>
      </c>
      <c r="AC12" s="55" t="str">
        <f aca="false">IF(AND(AC$7=$I12,OR(ISNUMBER(SEARCH("採用",$E12)),ISNUMBER(SEARCH("総務",$E12)),ISNUMBER(SEARCH("工場長",$E12)),ISNUMBER(SEARCH("社長",$E12)),ISNUMBER(SEARCH("出演",$E12)))),"◆","")</f>
        <v/>
      </c>
      <c r="AD12" s="55" t="str">
        <f aca="false">IF(AND(AD$7=$I12,OR(ISNUMBER(SEARCH("採用",$E12)),ISNUMBER(SEARCH("総務",$E12)),ISNUMBER(SEARCH("工場長",$E12)),ISNUMBER(SEARCH("社長",$E12)),ISNUMBER(SEARCH("出演",$E12)))),"◆","")</f>
        <v/>
      </c>
      <c r="AE12" s="55" t="str">
        <f aca="false">IF(AND(AE$7=$I12,OR(ISNUMBER(SEARCH("採用",$E12)),ISNUMBER(SEARCH("総務",$E12)),ISNUMBER(SEARCH("工場長",$E12)),ISNUMBER(SEARCH("社長",$E12)),ISNUMBER(SEARCH("出演",$E12)))),"◆","")</f>
        <v/>
      </c>
      <c r="AF12" s="55" t="str">
        <f aca="false">IF(AND(AF$7=$I12,OR(ISNUMBER(SEARCH("採用",$E12)),ISNUMBER(SEARCH("総務",$E12)),ISNUMBER(SEARCH("工場長",$E12)),ISNUMBER(SEARCH("社長",$E12)),ISNUMBER(SEARCH("出演",$E12)))),"◆","")</f>
        <v/>
      </c>
      <c r="AG12" s="55" t="str">
        <f aca="false">IF(AND(AG$7=$I12,OR(ISNUMBER(SEARCH("採用",$E12)),ISNUMBER(SEARCH("総務",$E12)),ISNUMBER(SEARCH("工場長",$E12)),ISNUMBER(SEARCH("社長",$E12)),ISNUMBER(SEARCH("出演",$E12)))),"◆","")</f>
        <v/>
      </c>
      <c r="AH12" s="55" t="str">
        <f aca="false">IF(AND(AH$7=$I12,OR(ISNUMBER(SEARCH("採用",$E12)),ISNUMBER(SEARCH("総務",$E12)),ISNUMBER(SEARCH("工場長",$E12)),ISNUMBER(SEARCH("社長",$E12)),ISNUMBER(SEARCH("出演",$E12)))),"◆","")</f>
        <v/>
      </c>
      <c r="AI12" s="55" t="str">
        <f aca="false">IF(AND(AI$7=$I12,OR(ISNUMBER(SEARCH("採用",$E12)),ISNUMBER(SEARCH("総務",$E12)),ISNUMBER(SEARCH("工場長",$E12)),ISNUMBER(SEARCH("社長",$E12)),ISNUMBER(SEARCH("出演",$E12)))),"◆","")</f>
        <v/>
      </c>
      <c r="AJ12" s="55" t="str">
        <f aca="false">IF(AND(AJ$7=$I12,OR(ISNUMBER(SEARCH("採用",$E12)),ISNUMBER(SEARCH("総務",$E12)),ISNUMBER(SEARCH("工場長",$E12)),ISNUMBER(SEARCH("社長",$E12)),ISNUMBER(SEARCH("出演",$E12)))),"◆","")</f>
        <v/>
      </c>
      <c r="AK12" s="55" t="str">
        <f aca="false">IF(AND(AK$7=$I12,OR(ISNUMBER(SEARCH("採用",$E12)),ISNUMBER(SEARCH("総務",$E12)),ISNUMBER(SEARCH("工場長",$E12)),ISNUMBER(SEARCH("社長",$E12)),ISNUMBER(SEARCH("出演",$E12)))),"◆","")</f>
        <v/>
      </c>
      <c r="AL12" s="55" t="str">
        <f aca="false">IF(AND(AL$7=$I12,OR(ISNUMBER(SEARCH("採用",$E12)),ISNUMBER(SEARCH("総務",$E12)),ISNUMBER(SEARCH("工場長",$E12)),ISNUMBER(SEARCH("社長",$E12)),ISNUMBER(SEARCH("出演",$E12)))),"◆","")</f>
        <v/>
      </c>
      <c r="AM12" s="55" t="str">
        <f aca="false">IF(AND(AM$7=$I12,OR(ISNUMBER(SEARCH("採用",$E12)),ISNUMBER(SEARCH("総務",$E12)),ISNUMBER(SEARCH("工場長",$E12)),ISNUMBER(SEARCH("社長",$E12)),ISNUMBER(SEARCH("出演",$E12)))),"◆","")</f>
        <v/>
      </c>
      <c r="AN12" s="55" t="str">
        <f aca="false">IF(AND(AN$7=$I12,OR(ISNUMBER(SEARCH("採用",$E12)),ISNUMBER(SEARCH("総務",$E12)),ISNUMBER(SEARCH("工場長",$E12)),ISNUMBER(SEARCH("社長",$E12)),ISNUMBER(SEARCH("出演",$E12)))),"◆","")</f>
        <v/>
      </c>
      <c r="AO12" s="55" t="str">
        <f aca="false">IF(AND(AO$7=$I12,OR(ISNUMBER(SEARCH("採用",$E12)),ISNUMBER(SEARCH("総務",$E12)),ISNUMBER(SEARCH("工場長",$E12)),ISNUMBER(SEARCH("社長",$E12)),ISNUMBER(SEARCH("出演",$E12)))),"◆","")</f>
        <v/>
      </c>
      <c r="AP12" s="55" t="str">
        <f aca="false">IF(AND(AP$7=$I12,OR(ISNUMBER(SEARCH("採用",$E12)),ISNUMBER(SEARCH("総務",$E12)),ISNUMBER(SEARCH("工場長",$E12)),ISNUMBER(SEARCH("社長",$E12)),ISNUMBER(SEARCH("出演",$E12)))),"◆","")</f>
        <v/>
      </c>
      <c r="AQ12" s="55" t="str">
        <f aca="false">IF(AND(AQ$7=$I12,OR(ISNUMBER(SEARCH("採用",$E12)),ISNUMBER(SEARCH("総務",$E12)),ISNUMBER(SEARCH("工場長",$E12)),ISNUMBER(SEARCH("社長",$E12)),ISNUMBER(SEARCH("出演",$E12)))),"◆","")</f>
        <v/>
      </c>
      <c r="AR12" s="55" t="str">
        <f aca="false">IF(AND(AR$7=$I12,OR(ISNUMBER(SEARCH("採用",$E12)),ISNUMBER(SEARCH("総務",$E12)),ISNUMBER(SEARCH("工場長",$E12)),ISNUMBER(SEARCH("社長",$E12)),ISNUMBER(SEARCH("出演",$E12)))),"◆","")</f>
        <v/>
      </c>
      <c r="AS12" s="55" t="str">
        <f aca="false">IF(AND(AS$7=$I12,OR(ISNUMBER(SEARCH("採用",$E12)),ISNUMBER(SEARCH("総務",$E12)),ISNUMBER(SEARCH("工場長",$E12)),ISNUMBER(SEARCH("社長",$E12)),ISNUMBER(SEARCH("出演",$E12)))),"◆","")</f>
        <v/>
      </c>
      <c r="AT12" s="55" t="str">
        <f aca="false">IF(AND(AT$7=$I12,OR(ISNUMBER(SEARCH("採用",$E12)),ISNUMBER(SEARCH("総務",$E12)),ISNUMBER(SEARCH("工場長",$E12)),ISNUMBER(SEARCH("社長",$E12)),ISNUMBER(SEARCH("出演",$E12)))),"◆","")</f>
        <v/>
      </c>
      <c r="AU12" s="55" t="str">
        <f aca="false">IF(AND(AU$7=$I12,OR(ISNUMBER(SEARCH("採用",$E12)),ISNUMBER(SEARCH("総務",$E12)),ISNUMBER(SEARCH("工場長",$E12)),ISNUMBER(SEARCH("社長",$E12)),ISNUMBER(SEARCH("出演",$E12)))),"◆","")</f>
        <v/>
      </c>
      <c r="AV12" s="55" t="str">
        <f aca="false">IF(AND(AV$7=$I12,OR(ISNUMBER(SEARCH("採用",$E12)),ISNUMBER(SEARCH("総務",$E12)),ISNUMBER(SEARCH("工場長",$E12)),ISNUMBER(SEARCH("社長",$E12)),ISNUMBER(SEARCH("出演",$E12)))),"◆","")</f>
        <v/>
      </c>
      <c r="AW12" s="55" t="str">
        <f aca="false">IF(AND(AW$7=$I12,OR(ISNUMBER(SEARCH("採用",$E12)),ISNUMBER(SEARCH("総務",$E12)),ISNUMBER(SEARCH("工場長",$E12)),ISNUMBER(SEARCH("社長",$E12)),ISNUMBER(SEARCH("出演",$E12)))),"◆","")</f>
        <v/>
      </c>
      <c r="AX12" s="55" t="str">
        <f aca="false">IF(AND(AX$7=$I12,OR(ISNUMBER(SEARCH("採用",$E12)),ISNUMBER(SEARCH("総務",$E12)),ISNUMBER(SEARCH("工場長",$E12)),ISNUMBER(SEARCH("社長",$E12)),ISNUMBER(SEARCH("出演",$E12)))),"◆","")</f>
        <v/>
      </c>
      <c r="AY12" s="55" t="str">
        <f aca="false">IF(AND(AY$7=$I12,OR(ISNUMBER(SEARCH("採用",$E12)),ISNUMBER(SEARCH("総務",$E12)),ISNUMBER(SEARCH("工場長",$E12)),ISNUMBER(SEARCH("社長",$E12)),ISNUMBER(SEARCH("出演",$E12)))),"◆","")</f>
        <v/>
      </c>
      <c r="AZ12" s="55" t="str">
        <f aca="false">IF(AND(AZ$7=$I12,OR(ISNUMBER(SEARCH("採用",$E12)),ISNUMBER(SEARCH("総務",$E12)),ISNUMBER(SEARCH("工場長",$E12)),ISNUMBER(SEARCH("社長",$E12)),ISNUMBER(SEARCH("出演",$E12)))),"◆","")</f>
        <v/>
      </c>
      <c r="BA12" s="55" t="str">
        <f aca="false">IF(AND(BA$7=$I12,OR(ISNUMBER(SEARCH("採用",$E12)),ISNUMBER(SEARCH("総務",$E12)),ISNUMBER(SEARCH("工場長",$E12)),ISNUMBER(SEARCH("社長",$E12)),ISNUMBER(SEARCH("出演",$E12)))),"◆","")</f>
        <v/>
      </c>
      <c r="BB12" s="55" t="str">
        <f aca="false">IF(AND(BB$7=$I12,OR(ISNUMBER(SEARCH("採用",$E12)),ISNUMBER(SEARCH("総務",$E12)),ISNUMBER(SEARCH("工場長",$E12)),ISNUMBER(SEARCH("社長",$E12)),ISNUMBER(SEARCH("出演",$E12)))),"◆","")</f>
        <v/>
      </c>
      <c r="BC12" s="55" t="str">
        <f aca="false">IF(AND(BC$7=$I12,OR(ISNUMBER(SEARCH("採用",$E12)),ISNUMBER(SEARCH("総務",$E12)),ISNUMBER(SEARCH("工場長",$E12)),ISNUMBER(SEARCH("社長",$E12)),ISNUMBER(SEARCH("出演",$E12)))),"◆","")</f>
        <v/>
      </c>
      <c r="BD12" s="55" t="str">
        <f aca="false">IF(AND(BD$7=$I12,OR(ISNUMBER(SEARCH("採用",$E12)),ISNUMBER(SEARCH("総務",$E12)),ISNUMBER(SEARCH("工場長",$E12)),ISNUMBER(SEARCH("社長",$E12)),ISNUMBER(SEARCH("出演",$E12)))),"◆","")</f>
        <v/>
      </c>
      <c r="BE12" s="55" t="str">
        <f aca="false">IF(AND(BE$7=$I12,OR(ISNUMBER(SEARCH("採用",$E12)),ISNUMBER(SEARCH("総務",$E12)),ISNUMBER(SEARCH("工場長",$E12)),ISNUMBER(SEARCH("社長",$E12)),ISNUMBER(SEARCH("出演",$E12)))),"◆","")</f>
        <v/>
      </c>
      <c r="BF12" s="55" t="str">
        <f aca="false">IF(AND(BF$7=$I12,OR(ISNUMBER(SEARCH("採用",$E12)),ISNUMBER(SEARCH("総務",$E12)),ISNUMBER(SEARCH("工場長",$E12)),ISNUMBER(SEARCH("社長",$E12)),ISNUMBER(SEARCH("出演",$E12)))),"◆","")</f>
        <v/>
      </c>
      <c r="BG12" s="55" t="str">
        <f aca="false">IF(AND(BG$7=$I12,OR(ISNUMBER(SEARCH("採用",$E12)),ISNUMBER(SEARCH("総務",$E12)),ISNUMBER(SEARCH("工場長",$E12)),ISNUMBER(SEARCH("社長",$E12)),ISNUMBER(SEARCH("出演",$E12)))),"◆","")</f>
        <v/>
      </c>
      <c r="BH12" s="55" t="str">
        <f aca="false">IF(AND(BH$7=$I12,OR(ISNUMBER(SEARCH("採用",$E12)),ISNUMBER(SEARCH("総務",$E12)),ISNUMBER(SEARCH("工場長",$E12)),ISNUMBER(SEARCH("社長",$E12)),ISNUMBER(SEARCH("出演",$E12)))),"◆","")</f>
        <v/>
      </c>
      <c r="BI12" s="55" t="str">
        <f aca="false">IF(AND(BI$7=$I12,OR(ISNUMBER(SEARCH("採用",$E12)),ISNUMBER(SEARCH("総務",$E12)),ISNUMBER(SEARCH("工場長",$E12)),ISNUMBER(SEARCH("社長",$E12)),ISNUMBER(SEARCH("出演",$E12)))),"◆","")</f>
        <v/>
      </c>
      <c r="BJ12" s="55" t="str">
        <f aca="false">IF(AND(BJ$7=$I12,OR(ISNUMBER(SEARCH("採用",$E12)),ISNUMBER(SEARCH("総務",$E12)),ISNUMBER(SEARCH("工場長",$E12)),ISNUMBER(SEARCH("社長",$E12)),ISNUMBER(SEARCH("出演",$E12)))),"◆","")</f>
        <v/>
      </c>
      <c r="BK12" s="55" t="str">
        <f aca="false">IF(AND(BK$7=$I12,OR(ISNUMBER(SEARCH("採用",$E12)),ISNUMBER(SEARCH("総務",$E12)),ISNUMBER(SEARCH("工場長",$E12)),ISNUMBER(SEARCH("社長",$E12)),ISNUMBER(SEARCH("出演",$E12)))),"◆","")</f>
        <v/>
      </c>
      <c r="BL12" s="55" t="str">
        <f aca="false">IF(AND(BL$7=$I12,OR(ISNUMBER(SEARCH("採用",$E12)),ISNUMBER(SEARCH("総務",$E12)),ISNUMBER(SEARCH("工場長",$E12)),ISNUMBER(SEARCH("社長",$E12)),ISNUMBER(SEARCH("出演",$E12)))),"◆","")</f>
        <v/>
      </c>
      <c r="BM12" s="55" t="str">
        <f aca="false">IF(AND(BM$7=$I12,OR(ISNUMBER(SEARCH("採用",$E12)),ISNUMBER(SEARCH("総務",$E12)),ISNUMBER(SEARCH("工場長",$E12)),ISNUMBER(SEARCH("社長",$E12)),ISNUMBER(SEARCH("出演",$E12)))),"◆","")</f>
        <v/>
      </c>
      <c r="BN12" s="55" t="str">
        <f aca="false">IF(AND(BN$7=$I12,OR(ISNUMBER(SEARCH("採用",$E12)),ISNUMBER(SEARCH("総務",$E12)),ISNUMBER(SEARCH("工場長",$E12)),ISNUMBER(SEARCH("社長",$E12)),ISNUMBER(SEARCH("出演",$E12)))),"◆","")</f>
        <v/>
      </c>
      <c r="BO12" s="55" t="str">
        <f aca="false">IF(AND(BO$7=$I12,OR(ISNUMBER(SEARCH("採用",$E12)),ISNUMBER(SEARCH("総務",$E12)),ISNUMBER(SEARCH("工場長",$E12)),ISNUMBER(SEARCH("社長",$E12)),ISNUMBER(SEARCH("出演",$E12)))),"◆","")</f>
        <v/>
      </c>
      <c r="BP12" s="55" t="str">
        <f aca="false">IF(AND(BP$7=$I12,OR(ISNUMBER(SEARCH("採用",$E12)),ISNUMBER(SEARCH("総務",$E12)),ISNUMBER(SEARCH("工場長",$E12)),ISNUMBER(SEARCH("社長",$E12)),ISNUMBER(SEARCH("出演",$E12)))),"◆","")</f>
        <v/>
      </c>
      <c r="BQ12" s="55" t="str">
        <f aca="false">IF(AND(BQ$7=$I12,OR(ISNUMBER(SEARCH("採用",$E12)),ISNUMBER(SEARCH("総務",$E12)),ISNUMBER(SEARCH("工場長",$E12)),ISNUMBER(SEARCH("社長",$E12)),ISNUMBER(SEARCH("出演",$E12)))),"◆","")</f>
        <v/>
      </c>
      <c r="BR12" s="55" t="str">
        <f aca="false">IF(AND(BR$7=$I12,OR(ISNUMBER(SEARCH("採用",$E12)),ISNUMBER(SEARCH("総務",$E12)),ISNUMBER(SEARCH("工場長",$E12)),ISNUMBER(SEARCH("社長",$E12)),ISNUMBER(SEARCH("出演",$E12)))),"◆","")</f>
        <v/>
      </c>
      <c r="BS12" s="55" t="str">
        <f aca="false">IF(AND(BS$7=$I12,OR(ISNUMBER(SEARCH("採用",$E12)),ISNUMBER(SEARCH("総務",$E12)),ISNUMBER(SEARCH("工場長",$E12)),ISNUMBER(SEARCH("社長",$E12)),ISNUMBER(SEARCH("出演",$E12)))),"◆","")</f>
        <v/>
      </c>
      <c r="BT12" s="55" t="str">
        <f aca="false">IF(AND(BT$7=$I12,OR(ISNUMBER(SEARCH("採用",$E12)),ISNUMBER(SEARCH("総務",$E12)),ISNUMBER(SEARCH("工場長",$E12)),ISNUMBER(SEARCH("社長",$E12)),ISNUMBER(SEARCH("出演",$E12)))),"◆","")</f>
        <v/>
      </c>
      <c r="BU12" s="55" t="str">
        <f aca="false">IF(AND(BU$7=$I12,OR(ISNUMBER(SEARCH("採用",$E12)),ISNUMBER(SEARCH("総務",$E12)),ISNUMBER(SEARCH("工場長",$E12)),ISNUMBER(SEARCH("社長",$E12)),ISNUMBER(SEARCH("出演",$E12)))),"◆","")</f>
        <v/>
      </c>
      <c r="BV12" s="55" t="str">
        <f aca="false">IF(AND(BV$7=$I12,OR(ISNUMBER(SEARCH("採用",$E12)),ISNUMBER(SEARCH("総務",$E12)),ISNUMBER(SEARCH("工場長",$E12)),ISNUMBER(SEARCH("社長",$E12)),ISNUMBER(SEARCH("出演",$E12)))),"◆","")</f>
        <v/>
      </c>
      <c r="BW12" s="55" t="str">
        <f aca="false">IF(AND(BW$7=$I12,OR(ISNUMBER(SEARCH("採用",$E12)),ISNUMBER(SEARCH("総務",$E12)),ISNUMBER(SEARCH("工場長",$E12)),ISNUMBER(SEARCH("社長",$E12)),ISNUMBER(SEARCH("出演",$E12)))),"◆","")</f>
        <v/>
      </c>
      <c r="BX12" s="55" t="str">
        <f aca="false">IF(AND(BX$7=$I12,OR(ISNUMBER(SEARCH("採用",$E12)),ISNUMBER(SEARCH("総務",$E12)),ISNUMBER(SEARCH("工場長",$E12)),ISNUMBER(SEARCH("社長",$E12)),ISNUMBER(SEARCH("出演",$E12)))),"◆","")</f>
        <v/>
      </c>
      <c r="BY12" s="55" t="str">
        <f aca="false">IF(AND(BY$7=$I12,OR(ISNUMBER(SEARCH("採用",$E12)),ISNUMBER(SEARCH("総務",$E12)),ISNUMBER(SEARCH("工場長",$E12)),ISNUMBER(SEARCH("社長",$E12)),ISNUMBER(SEARCH("出演",$E12)))),"◆","")</f>
        <v/>
      </c>
      <c r="BZ12" s="55" t="str">
        <f aca="false">IF(AND(BZ$7=$I12,OR(ISNUMBER(SEARCH("採用",$E12)),ISNUMBER(SEARCH("総務",$E12)),ISNUMBER(SEARCH("工場長",$E12)),ISNUMBER(SEARCH("社長",$E12)),ISNUMBER(SEARCH("出演",$E12)))),"◆","")</f>
        <v/>
      </c>
      <c r="CA12" s="55" t="str">
        <f aca="false">IF(AND(CA$7=$I12,OR(ISNUMBER(SEARCH("採用",$E12)),ISNUMBER(SEARCH("総務",$E12)),ISNUMBER(SEARCH("工場長",$E12)),ISNUMBER(SEARCH("社長",$E12)),ISNUMBER(SEARCH("出演",$E12)))),"◆","")</f>
        <v/>
      </c>
      <c r="CB12" s="55" t="str">
        <f aca="false">IF(AND(CB$7=$I12,OR(ISNUMBER(SEARCH("採用",$E12)),ISNUMBER(SEARCH("総務",$E12)),ISNUMBER(SEARCH("工場長",$E12)),ISNUMBER(SEARCH("社長",$E12)),ISNUMBER(SEARCH("出演",$E12)))),"◆","")</f>
        <v/>
      </c>
      <c r="CC12" s="55" t="str">
        <f aca="false">IF(AND(CC$7=$I12,OR(ISNUMBER(SEARCH("採用",$E12)),ISNUMBER(SEARCH("総務",$E12)),ISNUMBER(SEARCH("工場長",$E12)),ISNUMBER(SEARCH("社長",$E12)),ISNUMBER(SEARCH("出演",$E12)))),"◆","")</f>
        <v/>
      </c>
      <c r="CD12" s="55" t="str">
        <f aca="false">IF(AND(CD$7=$I12,OR(ISNUMBER(SEARCH("採用",$E12)),ISNUMBER(SEARCH("総務",$E12)),ISNUMBER(SEARCH("工場長",$E12)),ISNUMBER(SEARCH("社長",$E12)),ISNUMBER(SEARCH("出演",$E12)))),"◆","")</f>
        <v/>
      </c>
      <c r="CE12" s="55" t="str">
        <f aca="false">IF(AND(CE$7=$I12,OR(ISNUMBER(SEARCH("採用",$E12)),ISNUMBER(SEARCH("総務",$E12)),ISNUMBER(SEARCH("工場長",$E12)),ISNUMBER(SEARCH("社長",$E12)),ISNUMBER(SEARCH("出演",$E12)))),"◆","")</f>
        <v/>
      </c>
      <c r="CF12" s="55" t="str">
        <f aca="false">IF(AND(CF$7=$I12,OR(ISNUMBER(SEARCH("採用",$E12)),ISNUMBER(SEARCH("総務",$E12)),ISNUMBER(SEARCH("工場長",$E12)),ISNUMBER(SEARCH("社長",$E12)),ISNUMBER(SEARCH("出演",$E12)))),"◆","")</f>
        <v/>
      </c>
      <c r="CG12" s="55" t="str">
        <f aca="false">IF(AND(CG$7=$I12,OR(ISNUMBER(SEARCH("採用",$E12)),ISNUMBER(SEARCH("総務",$E12)),ISNUMBER(SEARCH("工場長",$E12)),ISNUMBER(SEARCH("社長",$E12)),ISNUMBER(SEARCH("出演",$E12)))),"◆","")</f>
        <v/>
      </c>
      <c r="CH12" s="55" t="str">
        <f aca="false">IF(AND(CH$7=$I12,OR(ISNUMBER(SEARCH("採用",$E12)),ISNUMBER(SEARCH("総務",$E12)),ISNUMBER(SEARCH("工場長",$E12)),ISNUMBER(SEARCH("社長",$E12)),ISNUMBER(SEARCH("出演",$E12)))),"◆","")</f>
        <v/>
      </c>
      <c r="CI12" s="55" t="str">
        <f aca="false">IF(AND(CI$7=$I12,OR(ISNUMBER(SEARCH("採用",$E12)),ISNUMBER(SEARCH("総務",$E12)),ISNUMBER(SEARCH("工場長",$E12)),ISNUMBER(SEARCH("社長",$E12)),ISNUMBER(SEARCH("出演",$E12)))),"◆","")</f>
        <v/>
      </c>
      <c r="CJ12" s="55" t="str">
        <f aca="false">IF(AND(CJ$7=$I12,OR(ISNUMBER(SEARCH("採用",$E12)),ISNUMBER(SEARCH("総務",$E12)),ISNUMBER(SEARCH("工場長",$E12)),ISNUMBER(SEARCH("社長",$E12)),ISNUMBER(SEARCH("出演",$E12)))),"◆","")</f>
        <v/>
      </c>
      <c r="CK12" s="55" t="str">
        <f aca="false">IF(AND(CK$7=$I12,OR(ISNUMBER(SEARCH("採用",$E12)),ISNUMBER(SEARCH("総務",$E12)),ISNUMBER(SEARCH("工場長",$E12)),ISNUMBER(SEARCH("社長",$E12)),ISNUMBER(SEARCH("出演",$E12)))),"◆","")</f>
        <v/>
      </c>
      <c r="CL12" s="55" t="str">
        <f aca="false">IF(AND(CL$7=$I12,OR(ISNUMBER(SEARCH("採用",$E12)),ISNUMBER(SEARCH("総務",$E12)),ISNUMBER(SEARCH("工場長",$E12)),ISNUMBER(SEARCH("社長",$E12)),ISNUMBER(SEARCH("出演",$E12)))),"◆","")</f>
        <v/>
      </c>
      <c r="CM12" s="55" t="str">
        <f aca="false">IF(AND(CM$7=$I12,OR(ISNUMBER(SEARCH("採用",$E12)),ISNUMBER(SEARCH("総務",$E12)),ISNUMBER(SEARCH("工場長",$E12)),ISNUMBER(SEARCH("社長",$E12)),ISNUMBER(SEARCH("出演",$E12)))),"◆","")</f>
        <v/>
      </c>
      <c r="CN12" s="55" t="str">
        <f aca="false">IF(AND(CN$7=$I12,OR(ISNUMBER(SEARCH("採用",$E12)),ISNUMBER(SEARCH("総務",$E12)),ISNUMBER(SEARCH("工場長",$E12)),ISNUMBER(SEARCH("社長",$E12)),ISNUMBER(SEARCH("出演",$E12)))),"◆","")</f>
        <v/>
      </c>
      <c r="CO12" s="55" t="str">
        <f aca="false">IF(AND(CO$7=$I12,OR(ISNUMBER(SEARCH("採用",$E12)),ISNUMBER(SEARCH("総務",$E12)),ISNUMBER(SEARCH("工場長",$E12)),ISNUMBER(SEARCH("社長",$E12)),ISNUMBER(SEARCH("出演",$E12)))),"◆","")</f>
        <v/>
      </c>
      <c r="CP12" s="55" t="str">
        <f aca="false">IF(AND(CP$7=$I12,OR(ISNUMBER(SEARCH("採用",$E12)),ISNUMBER(SEARCH("総務",$E12)),ISNUMBER(SEARCH("工場長",$E12)),ISNUMBER(SEARCH("社長",$E12)),ISNUMBER(SEARCH("出演",$E12)))),"◆","")</f>
        <v/>
      </c>
    </row>
    <row r="13" customFormat="false" ht="25.5" hidden="false" customHeight="true" outlineLevel="0" collapsed="false">
      <c r="A13" s="48" t="str">
        <f aca="false">制作工程表!A11</f>
        <v>T03</v>
      </c>
      <c r="B13" s="49" t="str">
        <f aca="false">制作工程表!B11</f>
        <v>企画確認</v>
      </c>
      <c r="C13" s="50" t="str">
        <f aca="false">制作工程表!C11</f>
        <v>構成案のご確認</v>
      </c>
      <c r="D13" s="51" t="str">
        <f aca="false">制作工程表!D11</f>
        <v>採用担当</v>
      </c>
      <c r="E13" s="51" t="str">
        <f aca="false">制作工程表!E11</f>
        <v>工場長</v>
      </c>
      <c r="F13" s="52" t="str">
        <f aca="false">IF(制作工程表!B11="取材撮影","撮影",IF(OR(制作工程表!D11="採用担当",制作工程表!D11="総務窓口",制作工程表!D11="工場長"),"企業","制作"))</f>
        <v>企業</v>
      </c>
      <c r="G13" s="53" t="n">
        <f aca="false">制作工程表!G11</f>
        <v>46308</v>
      </c>
      <c r="H13" s="53" t="n">
        <f aca="false">制作工程表!H11</f>
        <v>46314</v>
      </c>
      <c r="I13" s="54" t="n">
        <f aca="false">制作工程表!I11</f>
        <v>46314</v>
      </c>
      <c r="J13" s="49" t="str">
        <f aca="false">制作工程表!K11</f>
        <v>未着手</v>
      </c>
      <c r="K13" s="55" t="str">
        <f aca="false">IF(AND(K$7=$I13,OR(ISNUMBER(SEARCH("採用",$E13)),ISNUMBER(SEARCH("総務",$E13)),ISNUMBER(SEARCH("工場長",$E13)),ISNUMBER(SEARCH("社長",$E13)),ISNUMBER(SEARCH("出演",$E13)))),"◆","")</f>
        <v/>
      </c>
      <c r="L13" s="55" t="str">
        <f aca="false">IF(AND(L$7=$I13,OR(ISNUMBER(SEARCH("採用",$E13)),ISNUMBER(SEARCH("総務",$E13)),ISNUMBER(SEARCH("工場長",$E13)),ISNUMBER(SEARCH("社長",$E13)),ISNUMBER(SEARCH("出演",$E13)))),"◆","")</f>
        <v/>
      </c>
      <c r="M13" s="55" t="str">
        <f aca="false">IF(AND(M$7=$I13,OR(ISNUMBER(SEARCH("採用",$E13)),ISNUMBER(SEARCH("総務",$E13)),ISNUMBER(SEARCH("工場長",$E13)),ISNUMBER(SEARCH("社長",$E13)),ISNUMBER(SEARCH("出演",$E13)))),"◆","")</f>
        <v/>
      </c>
      <c r="N13" s="55" t="str">
        <f aca="false">IF(AND(N$7=$I13,OR(ISNUMBER(SEARCH("採用",$E13)),ISNUMBER(SEARCH("総務",$E13)),ISNUMBER(SEARCH("工場長",$E13)),ISNUMBER(SEARCH("社長",$E13)),ISNUMBER(SEARCH("出演",$E13)))),"◆","")</f>
        <v/>
      </c>
      <c r="O13" s="55" t="str">
        <f aca="false">IF(AND(O$7=$I13,OR(ISNUMBER(SEARCH("採用",$E13)),ISNUMBER(SEARCH("総務",$E13)),ISNUMBER(SEARCH("工場長",$E13)),ISNUMBER(SEARCH("社長",$E13)),ISNUMBER(SEARCH("出演",$E13)))),"◆","")</f>
        <v/>
      </c>
      <c r="P13" s="55" t="str">
        <f aca="false">IF(AND(P$7=$I13,OR(ISNUMBER(SEARCH("採用",$E13)),ISNUMBER(SEARCH("総務",$E13)),ISNUMBER(SEARCH("工場長",$E13)),ISNUMBER(SEARCH("社長",$E13)),ISNUMBER(SEARCH("出演",$E13)))),"◆","")</f>
        <v/>
      </c>
      <c r="Q13" s="55" t="str">
        <f aca="false">IF(AND(Q$7=$I13,OR(ISNUMBER(SEARCH("採用",$E13)),ISNUMBER(SEARCH("総務",$E13)),ISNUMBER(SEARCH("工場長",$E13)),ISNUMBER(SEARCH("社長",$E13)),ISNUMBER(SEARCH("出演",$E13)))),"◆","")</f>
        <v/>
      </c>
      <c r="R13" s="55" t="str">
        <f aca="false">IF(AND(R$7=$I13,OR(ISNUMBER(SEARCH("採用",$E13)),ISNUMBER(SEARCH("総務",$E13)),ISNUMBER(SEARCH("工場長",$E13)),ISNUMBER(SEARCH("社長",$E13)),ISNUMBER(SEARCH("出演",$E13)))),"◆","")</f>
        <v/>
      </c>
      <c r="S13" s="55" t="str">
        <f aca="false">IF(AND(S$7=$I13,OR(ISNUMBER(SEARCH("採用",$E13)),ISNUMBER(SEARCH("総務",$E13)),ISNUMBER(SEARCH("工場長",$E13)),ISNUMBER(SEARCH("社長",$E13)),ISNUMBER(SEARCH("出演",$E13)))),"◆","")</f>
        <v/>
      </c>
      <c r="T13" s="55" t="str">
        <f aca="false">IF(AND(T$7=$I13,OR(ISNUMBER(SEARCH("採用",$E13)),ISNUMBER(SEARCH("総務",$E13)),ISNUMBER(SEARCH("工場長",$E13)),ISNUMBER(SEARCH("社長",$E13)),ISNUMBER(SEARCH("出演",$E13)))),"◆","")</f>
        <v/>
      </c>
      <c r="U13" s="55" t="str">
        <f aca="false">IF(AND(U$7=$I13,OR(ISNUMBER(SEARCH("採用",$E13)),ISNUMBER(SEARCH("総務",$E13)),ISNUMBER(SEARCH("工場長",$E13)),ISNUMBER(SEARCH("社長",$E13)),ISNUMBER(SEARCH("出演",$E13)))),"◆","")</f>
        <v/>
      </c>
      <c r="V13" s="55" t="str">
        <f aca="false">IF(AND(V$7=$I13,OR(ISNUMBER(SEARCH("採用",$E13)),ISNUMBER(SEARCH("総務",$E13)),ISNUMBER(SEARCH("工場長",$E13)),ISNUMBER(SEARCH("社長",$E13)),ISNUMBER(SEARCH("出演",$E13)))),"◆","")</f>
        <v/>
      </c>
      <c r="W13" s="55" t="str">
        <f aca="false">IF(AND(W$7=$I13,OR(ISNUMBER(SEARCH("採用",$E13)),ISNUMBER(SEARCH("総務",$E13)),ISNUMBER(SEARCH("工場長",$E13)),ISNUMBER(SEARCH("社長",$E13)),ISNUMBER(SEARCH("出演",$E13)))),"◆","")</f>
        <v/>
      </c>
      <c r="X13" s="55" t="str">
        <f aca="false">IF(AND(X$7=$I13,OR(ISNUMBER(SEARCH("採用",$E13)),ISNUMBER(SEARCH("総務",$E13)),ISNUMBER(SEARCH("工場長",$E13)),ISNUMBER(SEARCH("社長",$E13)),ISNUMBER(SEARCH("出演",$E13)))),"◆","")</f>
        <v/>
      </c>
      <c r="Y13" s="55" t="str">
        <f aca="false">IF(AND(Y$7=$I13,OR(ISNUMBER(SEARCH("採用",$E13)),ISNUMBER(SEARCH("総務",$E13)),ISNUMBER(SEARCH("工場長",$E13)),ISNUMBER(SEARCH("社長",$E13)),ISNUMBER(SEARCH("出演",$E13)))),"◆","")</f>
        <v>◆</v>
      </c>
      <c r="Z13" s="55" t="str">
        <f aca="false">IF(AND(Z$7=$I13,OR(ISNUMBER(SEARCH("採用",$E13)),ISNUMBER(SEARCH("総務",$E13)),ISNUMBER(SEARCH("工場長",$E13)),ISNUMBER(SEARCH("社長",$E13)),ISNUMBER(SEARCH("出演",$E13)))),"◆","")</f>
        <v/>
      </c>
      <c r="AA13" s="55" t="str">
        <f aca="false">IF(AND(AA$7=$I13,OR(ISNUMBER(SEARCH("採用",$E13)),ISNUMBER(SEARCH("総務",$E13)),ISNUMBER(SEARCH("工場長",$E13)),ISNUMBER(SEARCH("社長",$E13)),ISNUMBER(SEARCH("出演",$E13)))),"◆","")</f>
        <v/>
      </c>
      <c r="AB13" s="55" t="str">
        <f aca="false">IF(AND(AB$7=$I13,OR(ISNUMBER(SEARCH("採用",$E13)),ISNUMBER(SEARCH("総務",$E13)),ISNUMBER(SEARCH("工場長",$E13)),ISNUMBER(SEARCH("社長",$E13)),ISNUMBER(SEARCH("出演",$E13)))),"◆","")</f>
        <v/>
      </c>
      <c r="AC13" s="55" t="str">
        <f aca="false">IF(AND(AC$7=$I13,OR(ISNUMBER(SEARCH("採用",$E13)),ISNUMBER(SEARCH("総務",$E13)),ISNUMBER(SEARCH("工場長",$E13)),ISNUMBER(SEARCH("社長",$E13)),ISNUMBER(SEARCH("出演",$E13)))),"◆","")</f>
        <v/>
      </c>
      <c r="AD13" s="55" t="str">
        <f aca="false">IF(AND(AD$7=$I13,OR(ISNUMBER(SEARCH("採用",$E13)),ISNUMBER(SEARCH("総務",$E13)),ISNUMBER(SEARCH("工場長",$E13)),ISNUMBER(SEARCH("社長",$E13)),ISNUMBER(SEARCH("出演",$E13)))),"◆","")</f>
        <v/>
      </c>
      <c r="AE13" s="55" t="str">
        <f aca="false">IF(AND(AE$7=$I13,OR(ISNUMBER(SEARCH("採用",$E13)),ISNUMBER(SEARCH("総務",$E13)),ISNUMBER(SEARCH("工場長",$E13)),ISNUMBER(SEARCH("社長",$E13)),ISNUMBER(SEARCH("出演",$E13)))),"◆","")</f>
        <v/>
      </c>
      <c r="AF13" s="55" t="str">
        <f aca="false">IF(AND(AF$7=$I13,OR(ISNUMBER(SEARCH("採用",$E13)),ISNUMBER(SEARCH("総務",$E13)),ISNUMBER(SEARCH("工場長",$E13)),ISNUMBER(SEARCH("社長",$E13)),ISNUMBER(SEARCH("出演",$E13)))),"◆","")</f>
        <v/>
      </c>
      <c r="AG13" s="55" t="str">
        <f aca="false">IF(AND(AG$7=$I13,OR(ISNUMBER(SEARCH("採用",$E13)),ISNUMBER(SEARCH("総務",$E13)),ISNUMBER(SEARCH("工場長",$E13)),ISNUMBER(SEARCH("社長",$E13)),ISNUMBER(SEARCH("出演",$E13)))),"◆","")</f>
        <v/>
      </c>
      <c r="AH13" s="55" t="str">
        <f aca="false">IF(AND(AH$7=$I13,OR(ISNUMBER(SEARCH("採用",$E13)),ISNUMBER(SEARCH("総務",$E13)),ISNUMBER(SEARCH("工場長",$E13)),ISNUMBER(SEARCH("社長",$E13)),ISNUMBER(SEARCH("出演",$E13)))),"◆","")</f>
        <v/>
      </c>
      <c r="AI13" s="55" t="str">
        <f aca="false">IF(AND(AI$7=$I13,OR(ISNUMBER(SEARCH("採用",$E13)),ISNUMBER(SEARCH("総務",$E13)),ISNUMBER(SEARCH("工場長",$E13)),ISNUMBER(SEARCH("社長",$E13)),ISNUMBER(SEARCH("出演",$E13)))),"◆","")</f>
        <v/>
      </c>
      <c r="AJ13" s="55" t="str">
        <f aca="false">IF(AND(AJ$7=$I13,OR(ISNUMBER(SEARCH("採用",$E13)),ISNUMBER(SEARCH("総務",$E13)),ISNUMBER(SEARCH("工場長",$E13)),ISNUMBER(SEARCH("社長",$E13)),ISNUMBER(SEARCH("出演",$E13)))),"◆","")</f>
        <v/>
      </c>
      <c r="AK13" s="55" t="str">
        <f aca="false">IF(AND(AK$7=$I13,OR(ISNUMBER(SEARCH("採用",$E13)),ISNUMBER(SEARCH("総務",$E13)),ISNUMBER(SEARCH("工場長",$E13)),ISNUMBER(SEARCH("社長",$E13)),ISNUMBER(SEARCH("出演",$E13)))),"◆","")</f>
        <v/>
      </c>
      <c r="AL13" s="55" t="str">
        <f aca="false">IF(AND(AL$7=$I13,OR(ISNUMBER(SEARCH("採用",$E13)),ISNUMBER(SEARCH("総務",$E13)),ISNUMBER(SEARCH("工場長",$E13)),ISNUMBER(SEARCH("社長",$E13)),ISNUMBER(SEARCH("出演",$E13)))),"◆","")</f>
        <v/>
      </c>
      <c r="AM13" s="55" t="str">
        <f aca="false">IF(AND(AM$7=$I13,OR(ISNUMBER(SEARCH("採用",$E13)),ISNUMBER(SEARCH("総務",$E13)),ISNUMBER(SEARCH("工場長",$E13)),ISNUMBER(SEARCH("社長",$E13)),ISNUMBER(SEARCH("出演",$E13)))),"◆","")</f>
        <v/>
      </c>
      <c r="AN13" s="55" t="str">
        <f aca="false">IF(AND(AN$7=$I13,OR(ISNUMBER(SEARCH("採用",$E13)),ISNUMBER(SEARCH("総務",$E13)),ISNUMBER(SEARCH("工場長",$E13)),ISNUMBER(SEARCH("社長",$E13)),ISNUMBER(SEARCH("出演",$E13)))),"◆","")</f>
        <v/>
      </c>
      <c r="AO13" s="55" t="str">
        <f aca="false">IF(AND(AO$7=$I13,OR(ISNUMBER(SEARCH("採用",$E13)),ISNUMBER(SEARCH("総務",$E13)),ISNUMBER(SEARCH("工場長",$E13)),ISNUMBER(SEARCH("社長",$E13)),ISNUMBER(SEARCH("出演",$E13)))),"◆","")</f>
        <v/>
      </c>
      <c r="AP13" s="55" t="str">
        <f aca="false">IF(AND(AP$7=$I13,OR(ISNUMBER(SEARCH("採用",$E13)),ISNUMBER(SEARCH("総務",$E13)),ISNUMBER(SEARCH("工場長",$E13)),ISNUMBER(SEARCH("社長",$E13)),ISNUMBER(SEARCH("出演",$E13)))),"◆","")</f>
        <v/>
      </c>
      <c r="AQ13" s="55" t="str">
        <f aca="false">IF(AND(AQ$7=$I13,OR(ISNUMBER(SEARCH("採用",$E13)),ISNUMBER(SEARCH("総務",$E13)),ISNUMBER(SEARCH("工場長",$E13)),ISNUMBER(SEARCH("社長",$E13)),ISNUMBER(SEARCH("出演",$E13)))),"◆","")</f>
        <v/>
      </c>
      <c r="AR13" s="55" t="str">
        <f aca="false">IF(AND(AR$7=$I13,OR(ISNUMBER(SEARCH("採用",$E13)),ISNUMBER(SEARCH("総務",$E13)),ISNUMBER(SEARCH("工場長",$E13)),ISNUMBER(SEARCH("社長",$E13)),ISNUMBER(SEARCH("出演",$E13)))),"◆","")</f>
        <v/>
      </c>
      <c r="AS13" s="55" t="str">
        <f aca="false">IF(AND(AS$7=$I13,OR(ISNUMBER(SEARCH("採用",$E13)),ISNUMBER(SEARCH("総務",$E13)),ISNUMBER(SEARCH("工場長",$E13)),ISNUMBER(SEARCH("社長",$E13)),ISNUMBER(SEARCH("出演",$E13)))),"◆","")</f>
        <v/>
      </c>
      <c r="AT13" s="55" t="str">
        <f aca="false">IF(AND(AT$7=$I13,OR(ISNUMBER(SEARCH("採用",$E13)),ISNUMBER(SEARCH("総務",$E13)),ISNUMBER(SEARCH("工場長",$E13)),ISNUMBER(SEARCH("社長",$E13)),ISNUMBER(SEARCH("出演",$E13)))),"◆","")</f>
        <v/>
      </c>
      <c r="AU13" s="55" t="str">
        <f aca="false">IF(AND(AU$7=$I13,OR(ISNUMBER(SEARCH("採用",$E13)),ISNUMBER(SEARCH("総務",$E13)),ISNUMBER(SEARCH("工場長",$E13)),ISNUMBER(SEARCH("社長",$E13)),ISNUMBER(SEARCH("出演",$E13)))),"◆","")</f>
        <v/>
      </c>
      <c r="AV13" s="55" t="str">
        <f aca="false">IF(AND(AV$7=$I13,OR(ISNUMBER(SEARCH("採用",$E13)),ISNUMBER(SEARCH("総務",$E13)),ISNUMBER(SEARCH("工場長",$E13)),ISNUMBER(SEARCH("社長",$E13)),ISNUMBER(SEARCH("出演",$E13)))),"◆","")</f>
        <v/>
      </c>
      <c r="AW13" s="55" t="str">
        <f aca="false">IF(AND(AW$7=$I13,OR(ISNUMBER(SEARCH("採用",$E13)),ISNUMBER(SEARCH("総務",$E13)),ISNUMBER(SEARCH("工場長",$E13)),ISNUMBER(SEARCH("社長",$E13)),ISNUMBER(SEARCH("出演",$E13)))),"◆","")</f>
        <v/>
      </c>
      <c r="AX13" s="55" t="str">
        <f aca="false">IF(AND(AX$7=$I13,OR(ISNUMBER(SEARCH("採用",$E13)),ISNUMBER(SEARCH("総務",$E13)),ISNUMBER(SEARCH("工場長",$E13)),ISNUMBER(SEARCH("社長",$E13)),ISNUMBER(SEARCH("出演",$E13)))),"◆","")</f>
        <v/>
      </c>
      <c r="AY13" s="55" t="str">
        <f aca="false">IF(AND(AY$7=$I13,OR(ISNUMBER(SEARCH("採用",$E13)),ISNUMBER(SEARCH("総務",$E13)),ISNUMBER(SEARCH("工場長",$E13)),ISNUMBER(SEARCH("社長",$E13)),ISNUMBER(SEARCH("出演",$E13)))),"◆","")</f>
        <v/>
      </c>
      <c r="AZ13" s="55" t="str">
        <f aca="false">IF(AND(AZ$7=$I13,OR(ISNUMBER(SEARCH("採用",$E13)),ISNUMBER(SEARCH("総務",$E13)),ISNUMBER(SEARCH("工場長",$E13)),ISNUMBER(SEARCH("社長",$E13)),ISNUMBER(SEARCH("出演",$E13)))),"◆","")</f>
        <v/>
      </c>
      <c r="BA13" s="55" t="str">
        <f aca="false">IF(AND(BA$7=$I13,OR(ISNUMBER(SEARCH("採用",$E13)),ISNUMBER(SEARCH("総務",$E13)),ISNUMBER(SEARCH("工場長",$E13)),ISNUMBER(SEARCH("社長",$E13)),ISNUMBER(SEARCH("出演",$E13)))),"◆","")</f>
        <v/>
      </c>
      <c r="BB13" s="55" t="str">
        <f aca="false">IF(AND(BB$7=$I13,OR(ISNUMBER(SEARCH("採用",$E13)),ISNUMBER(SEARCH("総務",$E13)),ISNUMBER(SEARCH("工場長",$E13)),ISNUMBER(SEARCH("社長",$E13)),ISNUMBER(SEARCH("出演",$E13)))),"◆","")</f>
        <v/>
      </c>
      <c r="BC13" s="55" t="str">
        <f aca="false">IF(AND(BC$7=$I13,OR(ISNUMBER(SEARCH("採用",$E13)),ISNUMBER(SEARCH("総務",$E13)),ISNUMBER(SEARCH("工場長",$E13)),ISNUMBER(SEARCH("社長",$E13)),ISNUMBER(SEARCH("出演",$E13)))),"◆","")</f>
        <v/>
      </c>
      <c r="BD13" s="55" t="str">
        <f aca="false">IF(AND(BD$7=$I13,OR(ISNUMBER(SEARCH("採用",$E13)),ISNUMBER(SEARCH("総務",$E13)),ISNUMBER(SEARCH("工場長",$E13)),ISNUMBER(SEARCH("社長",$E13)),ISNUMBER(SEARCH("出演",$E13)))),"◆","")</f>
        <v/>
      </c>
      <c r="BE13" s="55" t="str">
        <f aca="false">IF(AND(BE$7=$I13,OR(ISNUMBER(SEARCH("採用",$E13)),ISNUMBER(SEARCH("総務",$E13)),ISNUMBER(SEARCH("工場長",$E13)),ISNUMBER(SEARCH("社長",$E13)),ISNUMBER(SEARCH("出演",$E13)))),"◆","")</f>
        <v/>
      </c>
      <c r="BF13" s="55" t="str">
        <f aca="false">IF(AND(BF$7=$I13,OR(ISNUMBER(SEARCH("採用",$E13)),ISNUMBER(SEARCH("総務",$E13)),ISNUMBER(SEARCH("工場長",$E13)),ISNUMBER(SEARCH("社長",$E13)),ISNUMBER(SEARCH("出演",$E13)))),"◆","")</f>
        <v/>
      </c>
      <c r="BG13" s="55" t="str">
        <f aca="false">IF(AND(BG$7=$I13,OR(ISNUMBER(SEARCH("採用",$E13)),ISNUMBER(SEARCH("総務",$E13)),ISNUMBER(SEARCH("工場長",$E13)),ISNUMBER(SEARCH("社長",$E13)),ISNUMBER(SEARCH("出演",$E13)))),"◆","")</f>
        <v/>
      </c>
      <c r="BH13" s="55" t="str">
        <f aca="false">IF(AND(BH$7=$I13,OR(ISNUMBER(SEARCH("採用",$E13)),ISNUMBER(SEARCH("総務",$E13)),ISNUMBER(SEARCH("工場長",$E13)),ISNUMBER(SEARCH("社長",$E13)),ISNUMBER(SEARCH("出演",$E13)))),"◆","")</f>
        <v/>
      </c>
      <c r="BI13" s="55" t="str">
        <f aca="false">IF(AND(BI$7=$I13,OR(ISNUMBER(SEARCH("採用",$E13)),ISNUMBER(SEARCH("総務",$E13)),ISNUMBER(SEARCH("工場長",$E13)),ISNUMBER(SEARCH("社長",$E13)),ISNUMBER(SEARCH("出演",$E13)))),"◆","")</f>
        <v/>
      </c>
      <c r="BJ13" s="55" t="str">
        <f aca="false">IF(AND(BJ$7=$I13,OR(ISNUMBER(SEARCH("採用",$E13)),ISNUMBER(SEARCH("総務",$E13)),ISNUMBER(SEARCH("工場長",$E13)),ISNUMBER(SEARCH("社長",$E13)),ISNUMBER(SEARCH("出演",$E13)))),"◆","")</f>
        <v/>
      </c>
      <c r="BK13" s="55" t="str">
        <f aca="false">IF(AND(BK$7=$I13,OR(ISNUMBER(SEARCH("採用",$E13)),ISNUMBER(SEARCH("総務",$E13)),ISNUMBER(SEARCH("工場長",$E13)),ISNUMBER(SEARCH("社長",$E13)),ISNUMBER(SEARCH("出演",$E13)))),"◆","")</f>
        <v/>
      </c>
      <c r="BL13" s="55" t="str">
        <f aca="false">IF(AND(BL$7=$I13,OR(ISNUMBER(SEARCH("採用",$E13)),ISNUMBER(SEARCH("総務",$E13)),ISNUMBER(SEARCH("工場長",$E13)),ISNUMBER(SEARCH("社長",$E13)),ISNUMBER(SEARCH("出演",$E13)))),"◆","")</f>
        <v/>
      </c>
      <c r="BM13" s="55" t="str">
        <f aca="false">IF(AND(BM$7=$I13,OR(ISNUMBER(SEARCH("採用",$E13)),ISNUMBER(SEARCH("総務",$E13)),ISNUMBER(SEARCH("工場長",$E13)),ISNUMBER(SEARCH("社長",$E13)),ISNUMBER(SEARCH("出演",$E13)))),"◆","")</f>
        <v/>
      </c>
      <c r="BN13" s="55" t="str">
        <f aca="false">IF(AND(BN$7=$I13,OR(ISNUMBER(SEARCH("採用",$E13)),ISNUMBER(SEARCH("総務",$E13)),ISNUMBER(SEARCH("工場長",$E13)),ISNUMBER(SEARCH("社長",$E13)),ISNUMBER(SEARCH("出演",$E13)))),"◆","")</f>
        <v/>
      </c>
      <c r="BO13" s="55" t="str">
        <f aca="false">IF(AND(BO$7=$I13,OR(ISNUMBER(SEARCH("採用",$E13)),ISNUMBER(SEARCH("総務",$E13)),ISNUMBER(SEARCH("工場長",$E13)),ISNUMBER(SEARCH("社長",$E13)),ISNUMBER(SEARCH("出演",$E13)))),"◆","")</f>
        <v/>
      </c>
      <c r="BP13" s="55" t="str">
        <f aca="false">IF(AND(BP$7=$I13,OR(ISNUMBER(SEARCH("採用",$E13)),ISNUMBER(SEARCH("総務",$E13)),ISNUMBER(SEARCH("工場長",$E13)),ISNUMBER(SEARCH("社長",$E13)),ISNUMBER(SEARCH("出演",$E13)))),"◆","")</f>
        <v/>
      </c>
      <c r="BQ13" s="55" t="str">
        <f aca="false">IF(AND(BQ$7=$I13,OR(ISNUMBER(SEARCH("採用",$E13)),ISNUMBER(SEARCH("総務",$E13)),ISNUMBER(SEARCH("工場長",$E13)),ISNUMBER(SEARCH("社長",$E13)),ISNUMBER(SEARCH("出演",$E13)))),"◆","")</f>
        <v/>
      </c>
      <c r="BR13" s="55" t="str">
        <f aca="false">IF(AND(BR$7=$I13,OR(ISNUMBER(SEARCH("採用",$E13)),ISNUMBER(SEARCH("総務",$E13)),ISNUMBER(SEARCH("工場長",$E13)),ISNUMBER(SEARCH("社長",$E13)),ISNUMBER(SEARCH("出演",$E13)))),"◆","")</f>
        <v/>
      </c>
      <c r="BS13" s="55" t="str">
        <f aca="false">IF(AND(BS$7=$I13,OR(ISNUMBER(SEARCH("採用",$E13)),ISNUMBER(SEARCH("総務",$E13)),ISNUMBER(SEARCH("工場長",$E13)),ISNUMBER(SEARCH("社長",$E13)),ISNUMBER(SEARCH("出演",$E13)))),"◆","")</f>
        <v/>
      </c>
      <c r="BT13" s="55" t="str">
        <f aca="false">IF(AND(BT$7=$I13,OR(ISNUMBER(SEARCH("採用",$E13)),ISNUMBER(SEARCH("総務",$E13)),ISNUMBER(SEARCH("工場長",$E13)),ISNUMBER(SEARCH("社長",$E13)),ISNUMBER(SEARCH("出演",$E13)))),"◆","")</f>
        <v/>
      </c>
      <c r="BU13" s="55" t="str">
        <f aca="false">IF(AND(BU$7=$I13,OR(ISNUMBER(SEARCH("採用",$E13)),ISNUMBER(SEARCH("総務",$E13)),ISNUMBER(SEARCH("工場長",$E13)),ISNUMBER(SEARCH("社長",$E13)),ISNUMBER(SEARCH("出演",$E13)))),"◆","")</f>
        <v/>
      </c>
      <c r="BV13" s="55" t="str">
        <f aca="false">IF(AND(BV$7=$I13,OR(ISNUMBER(SEARCH("採用",$E13)),ISNUMBER(SEARCH("総務",$E13)),ISNUMBER(SEARCH("工場長",$E13)),ISNUMBER(SEARCH("社長",$E13)),ISNUMBER(SEARCH("出演",$E13)))),"◆","")</f>
        <v/>
      </c>
      <c r="BW13" s="55" t="str">
        <f aca="false">IF(AND(BW$7=$I13,OR(ISNUMBER(SEARCH("採用",$E13)),ISNUMBER(SEARCH("総務",$E13)),ISNUMBER(SEARCH("工場長",$E13)),ISNUMBER(SEARCH("社長",$E13)),ISNUMBER(SEARCH("出演",$E13)))),"◆","")</f>
        <v/>
      </c>
      <c r="BX13" s="55" t="str">
        <f aca="false">IF(AND(BX$7=$I13,OR(ISNUMBER(SEARCH("採用",$E13)),ISNUMBER(SEARCH("総務",$E13)),ISNUMBER(SEARCH("工場長",$E13)),ISNUMBER(SEARCH("社長",$E13)),ISNUMBER(SEARCH("出演",$E13)))),"◆","")</f>
        <v/>
      </c>
      <c r="BY13" s="55" t="str">
        <f aca="false">IF(AND(BY$7=$I13,OR(ISNUMBER(SEARCH("採用",$E13)),ISNUMBER(SEARCH("総務",$E13)),ISNUMBER(SEARCH("工場長",$E13)),ISNUMBER(SEARCH("社長",$E13)),ISNUMBER(SEARCH("出演",$E13)))),"◆","")</f>
        <v/>
      </c>
      <c r="BZ13" s="55" t="str">
        <f aca="false">IF(AND(BZ$7=$I13,OR(ISNUMBER(SEARCH("採用",$E13)),ISNUMBER(SEARCH("総務",$E13)),ISNUMBER(SEARCH("工場長",$E13)),ISNUMBER(SEARCH("社長",$E13)),ISNUMBER(SEARCH("出演",$E13)))),"◆","")</f>
        <v/>
      </c>
      <c r="CA13" s="55" t="str">
        <f aca="false">IF(AND(CA$7=$I13,OR(ISNUMBER(SEARCH("採用",$E13)),ISNUMBER(SEARCH("総務",$E13)),ISNUMBER(SEARCH("工場長",$E13)),ISNUMBER(SEARCH("社長",$E13)),ISNUMBER(SEARCH("出演",$E13)))),"◆","")</f>
        <v/>
      </c>
      <c r="CB13" s="55" t="str">
        <f aca="false">IF(AND(CB$7=$I13,OR(ISNUMBER(SEARCH("採用",$E13)),ISNUMBER(SEARCH("総務",$E13)),ISNUMBER(SEARCH("工場長",$E13)),ISNUMBER(SEARCH("社長",$E13)),ISNUMBER(SEARCH("出演",$E13)))),"◆","")</f>
        <v/>
      </c>
      <c r="CC13" s="55" t="str">
        <f aca="false">IF(AND(CC$7=$I13,OR(ISNUMBER(SEARCH("採用",$E13)),ISNUMBER(SEARCH("総務",$E13)),ISNUMBER(SEARCH("工場長",$E13)),ISNUMBER(SEARCH("社長",$E13)),ISNUMBER(SEARCH("出演",$E13)))),"◆","")</f>
        <v/>
      </c>
      <c r="CD13" s="55" t="str">
        <f aca="false">IF(AND(CD$7=$I13,OR(ISNUMBER(SEARCH("採用",$E13)),ISNUMBER(SEARCH("総務",$E13)),ISNUMBER(SEARCH("工場長",$E13)),ISNUMBER(SEARCH("社長",$E13)),ISNUMBER(SEARCH("出演",$E13)))),"◆","")</f>
        <v/>
      </c>
      <c r="CE13" s="55" t="str">
        <f aca="false">IF(AND(CE$7=$I13,OR(ISNUMBER(SEARCH("採用",$E13)),ISNUMBER(SEARCH("総務",$E13)),ISNUMBER(SEARCH("工場長",$E13)),ISNUMBER(SEARCH("社長",$E13)),ISNUMBER(SEARCH("出演",$E13)))),"◆","")</f>
        <v/>
      </c>
      <c r="CF13" s="55" t="str">
        <f aca="false">IF(AND(CF$7=$I13,OR(ISNUMBER(SEARCH("採用",$E13)),ISNUMBER(SEARCH("総務",$E13)),ISNUMBER(SEARCH("工場長",$E13)),ISNUMBER(SEARCH("社長",$E13)),ISNUMBER(SEARCH("出演",$E13)))),"◆","")</f>
        <v/>
      </c>
      <c r="CG13" s="55" t="str">
        <f aca="false">IF(AND(CG$7=$I13,OR(ISNUMBER(SEARCH("採用",$E13)),ISNUMBER(SEARCH("総務",$E13)),ISNUMBER(SEARCH("工場長",$E13)),ISNUMBER(SEARCH("社長",$E13)),ISNUMBER(SEARCH("出演",$E13)))),"◆","")</f>
        <v/>
      </c>
      <c r="CH13" s="55" t="str">
        <f aca="false">IF(AND(CH$7=$I13,OR(ISNUMBER(SEARCH("採用",$E13)),ISNUMBER(SEARCH("総務",$E13)),ISNUMBER(SEARCH("工場長",$E13)),ISNUMBER(SEARCH("社長",$E13)),ISNUMBER(SEARCH("出演",$E13)))),"◆","")</f>
        <v/>
      </c>
      <c r="CI13" s="55" t="str">
        <f aca="false">IF(AND(CI$7=$I13,OR(ISNUMBER(SEARCH("採用",$E13)),ISNUMBER(SEARCH("総務",$E13)),ISNUMBER(SEARCH("工場長",$E13)),ISNUMBER(SEARCH("社長",$E13)),ISNUMBER(SEARCH("出演",$E13)))),"◆","")</f>
        <v/>
      </c>
      <c r="CJ13" s="55" t="str">
        <f aca="false">IF(AND(CJ$7=$I13,OR(ISNUMBER(SEARCH("採用",$E13)),ISNUMBER(SEARCH("総務",$E13)),ISNUMBER(SEARCH("工場長",$E13)),ISNUMBER(SEARCH("社長",$E13)),ISNUMBER(SEARCH("出演",$E13)))),"◆","")</f>
        <v/>
      </c>
      <c r="CK13" s="55" t="str">
        <f aca="false">IF(AND(CK$7=$I13,OR(ISNUMBER(SEARCH("採用",$E13)),ISNUMBER(SEARCH("総務",$E13)),ISNUMBER(SEARCH("工場長",$E13)),ISNUMBER(SEARCH("社長",$E13)),ISNUMBER(SEARCH("出演",$E13)))),"◆","")</f>
        <v/>
      </c>
      <c r="CL13" s="55" t="str">
        <f aca="false">IF(AND(CL$7=$I13,OR(ISNUMBER(SEARCH("採用",$E13)),ISNUMBER(SEARCH("総務",$E13)),ISNUMBER(SEARCH("工場長",$E13)),ISNUMBER(SEARCH("社長",$E13)),ISNUMBER(SEARCH("出演",$E13)))),"◆","")</f>
        <v/>
      </c>
      <c r="CM13" s="55" t="str">
        <f aca="false">IF(AND(CM$7=$I13,OR(ISNUMBER(SEARCH("採用",$E13)),ISNUMBER(SEARCH("総務",$E13)),ISNUMBER(SEARCH("工場長",$E13)),ISNUMBER(SEARCH("社長",$E13)),ISNUMBER(SEARCH("出演",$E13)))),"◆","")</f>
        <v/>
      </c>
      <c r="CN13" s="55" t="str">
        <f aca="false">IF(AND(CN$7=$I13,OR(ISNUMBER(SEARCH("採用",$E13)),ISNUMBER(SEARCH("総務",$E13)),ISNUMBER(SEARCH("工場長",$E13)),ISNUMBER(SEARCH("社長",$E13)),ISNUMBER(SEARCH("出演",$E13)))),"◆","")</f>
        <v/>
      </c>
      <c r="CO13" s="55" t="str">
        <f aca="false">IF(AND(CO$7=$I13,OR(ISNUMBER(SEARCH("採用",$E13)),ISNUMBER(SEARCH("総務",$E13)),ISNUMBER(SEARCH("工場長",$E13)),ISNUMBER(SEARCH("社長",$E13)),ISNUMBER(SEARCH("出演",$E13)))),"◆","")</f>
        <v/>
      </c>
      <c r="CP13" s="55" t="str">
        <f aca="false">IF(AND(CP$7=$I13,OR(ISNUMBER(SEARCH("採用",$E13)),ISNUMBER(SEARCH("総務",$E13)),ISNUMBER(SEARCH("工場長",$E13)),ISNUMBER(SEARCH("社長",$E13)),ISNUMBER(SEARCH("出演",$E13)))),"◆","")</f>
        <v/>
      </c>
    </row>
    <row r="14" customFormat="false" ht="25.5" hidden="false" customHeight="true" outlineLevel="0" collapsed="false">
      <c r="A14" s="48" t="str">
        <f aca="false">制作工程表!A12</f>
        <v>T04</v>
      </c>
      <c r="B14" s="49" t="str">
        <f aca="false">制作工程表!B12</f>
        <v>企画</v>
      </c>
      <c r="C14" s="50" t="str">
        <f aca="false">制作工程表!C12</f>
        <v>構成・掲載条件の確定</v>
      </c>
      <c r="D14" s="51" t="str">
        <f aca="false">制作工程表!D12</f>
        <v>編集ディレクター</v>
      </c>
      <c r="E14" s="51" t="str">
        <f aca="false">制作工程表!E12</f>
        <v>—</v>
      </c>
      <c r="F14" s="52" t="str">
        <f aca="false">IF(制作工程表!B12="取材撮影","撮影",IF(OR(制作工程表!D12="採用担当",制作工程表!D12="総務窓口",制作工程表!D12="工場長"),"企業","制作"))</f>
        <v>制作</v>
      </c>
      <c r="G14" s="53" t="n">
        <f aca="false">制作工程表!G12</f>
        <v>46315</v>
      </c>
      <c r="H14" s="53" t="n">
        <f aca="false">制作工程表!H12</f>
        <v>46315</v>
      </c>
      <c r="I14" s="54" t="str">
        <f aca="false">制作工程表!I12</f>
        <v>—</v>
      </c>
      <c r="J14" s="49" t="str">
        <f aca="false">制作工程表!K12</f>
        <v>未着手</v>
      </c>
      <c r="K14" s="55" t="str">
        <f aca="false">IF(AND(K$7=$I14,OR(ISNUMBER(SEARCH("採用",$E14)),ISNUMBER(SEARCH("総務",$E14)),ISNUMBER(SEARCH("工場長",$E14)),ISNUMBER(SEARCH("社長",$E14)),ISNUMBER(SEARCH("出演",$E14)))),"◆","")</f>
        <v/>
      </c>
      <c r="L14" s="55" t="str">
        <f aca="false">IF(AND(L$7=$I14,OR(ISNUMBER(SEARCH("採用",$E14)),ISNUMBER(SEARCH("総務",$E14)),ISNUMBER(SEARCH("工場長",$E14)),ISNUMBER(SEARCH("社長",$E14)),ISNUMBER(SEARCH("出演",$E14)))),"◆","")</f>
        <v/>
      </c>
      <c r="M14" s="55" t="str">
        <f aca="false">IF(AND(M$7=$I14,OR(ISNUMBER(SEARCH("採用",$E14)),ISNUMBER(SEARCH("総務",$E14)),ISNUMBER(SEARCH("工場長",$E14)),ISNUMBER(SEARCH("社長",$E14)),ISNUMBER(SEARCH("出演",$E14)))),"◆","")</f>
        <v/>
      </c>
      <c r="N14" s="55" t="str">
        <f aca="false">IF(AND(N$7=$I14,OR(ISNUMBER(SEARCH("採用",$E14)),ISNUMBER(SEARCH("総務",$E14)),ISNUMBER(SEARCH("工場長",$E14)),ISNUMBER(SEARCH("社長",$E14)),ISNUMBER(SEARCH("出演",$E14)))),"◆","")</f>
        <v/>
      </c>
      <c r="O14" s="55" t="str">
        <f aca="false">IF(AND(O$7=$I14,OR(ISNUMBER(SEARCH("採用",$E14)),ISNUMBER(SEARCH("総務",$E14)),ISNUMBER(SEARCH("工場長",$E14)),ISNUMBER(SEARCH("社長",$E14)),ISNUMBER(SEARCH("出演",$E14)))),"◆","")</f>
        <v/>
      </c>
      <c r="P14" s="55" t="str">
        <f aca="false">IF(AND(P$7=$I14,OR(ISNUMBER(SEARCH("採用",$E14)),ISNUMBER(SEARCH("総務",$E14)),ISNUMBER(SEARCH("工場長",$E14)),ISNUMBER(SEARCH("社長",$E14)),ISNUMBER(SEARCH("出演",$E14)))),"◆","")</f>
        <v/>
      </c>
      <c r="Q14" s="55" t="str">
        <f aca="false">IF(AND(Q$7=$I14,OR(ISNUMBER(SEARCH("採用",$E14)),ISNUMBER(SEARCH("総務",$E14)),ISNUMBER(SEARCH("工場長",$E14)),ISNUMBER(SEARCH("社長",$E14)),ISNUMBER(SEARCH("出演",$E14)))),"◆","")</f>
        <v/>
      </c>
      <c r="R14" s="55" t="str">
        <f aca="false">IF(AND(R$7=$I14,OR(ISNUMBER(SEARCH("採用",$E14)),ISNUMBER(SEARCH("総務",$E14)),ISNUMBER(SEARCH("工場長",$E14)),ISNUMBER(SEARCH("社長",$E14)),ISNUMBER(SEARCH("出演",$E14)))),"◆","")</f>
        <v/>
      </c>
      <c r="S14" s="55" t="str">
        <f aca="false">IF(AND(S$7=$I14,OR(ISNUMBER(SEARCH("採用",$E14)),ISNUMBER(SEARCH("総務",$E14)),ISNUMBER(SEARCH("工場長",$E14)),ISNUMBER(SEARCH("社長",$E14)),ISNUMBER(SEARCH("出演",$E14)))),"◆","")</f>
        <v/>
      </c>
      <c r="T14" s="55" t="str">
        <f aca="false">IF(AND(T$7=$I14,OR(ISNUMBER(SEARCH("採用",$E14)),ISNUMBER(SEARCH("総務",$E14)),ISNUMBER(SEARCH("工場長",$E14)),ISNUMBER(SEARCH("社長",$E14)),ISNUMBER(SEARCH("出演",$E14)))),"◆","")</f>
        <v/>
      </c>
      <c r="U14" s="55" t="str">
        <f aca="false">IF(AND(U$7=$I14,OR(ISNUMBER(SEARCH("採用",$E14)),ISNUMBER(SEARCH("総務",$E14)),ISNUMBER(SEARCH("工場長",$E14)),ISNUMBER(SEARCH("社長",$E14)),ISNUMBER(SEARCH("出演",$E14)))),"◆","")</f>
        <v/>
      </c>
      <c r="V14" s="55" t="str">
        <f aca="false">IF(AND(V$7=$I14,OR(ISNUMBER(SEARCH("採用",$E14)),ISNUMBER(SEARCH("総務",$E14)),ISNUMBER(SEARCH("工場長",$E14)),ISNUMBER(SEARCH("社長",$E14)),ISNUMBER(SEARCH("出演",$E14)))),"◆","")</f>
        <v/>
      </c>
      <c r="W14" s="55" t="str">
        <f aca="false">IF(AND(W$7=$I14,OR(ISNUMBER(SEARCH("採用",$E14)),ISNUMBER(SEARCH("総務",$E14)),ISNUMBER(SEARCH("工場長",$E14)),ISNUMBER(SEARCH("社長",$E14)),ISNUMBER(SEARCH("出演",$E14)))),"◆","")</f>
        <v/>
      </c>
      <c r="X14" s="55" t="str">
        <f aca="false">IF(AND(X$7=$I14,OR(ISNUMBER(SEARCH("採用",$E14)),ISNUMBER(SEARCH("総務",$E14)),ISNUMBER(SEARCH("工場長",$E14)),ISNUMBER(SEARCH("社長",$E14)),ISNUMBER(SEARCH("出演",$E14)))),"◆","")</f>
        <v/>
      </c>
      <c r="Y14" s="55" t="str">
        <f aca="false">IF(AND(Y$7=$I14,OR(ISNUMBER(SEARCH("採用",$E14)),ISNUMBER(SEARCH("総務",$E14)),ISNUMBER(SEARCH("工場長",$E14)),ISNUMBER(SEARCH("社長",$E14)),ISNUMBER(SEARCH("出演",$E14)))),"◆","")</f>
        <v/>
      </c>
      <c r="Z14" s="55" t="str">
        <f aca="false">IF(AND(Z$7=$I14,OR(ISNUMBER(SEARCH("採用",$E14)),ISNUMBER(SEARCH("総務",$E14)),ISNUMBER(SEARCH("工場長",$E14)),ISNUMBER(SEARCH("社長",$E14)),ISNUMBER(SEARCH("出演",$E14)))),"◆","")</f>
        <v/>
      </c>
      <c r="AA14" s="55" t="str">
        <f aca="false">IF(AND(AA$7=$I14,OR(ISNUMBER(SEARCH("採用",$E14)),ISNUMBER(SEARCH("総務",$E14)),ISNUMBER(SEARCH("工場長",$E14)),ISNUMBER(SEARCH("社長",$E14)),ISNUMBER(SEARCH("出演",$E14)))),"◆","")</f>
        <v/>
      </c>
      <c r="AB14" s="55" t="str">
        <f aca="false">IF(AND(AB$7=$I14,OR(ISNUMBER(SEARCH("採用",$E14)),ISNUMBER(SEARCH("総務",$E14)),ISNUMBER(SEARCH("工場長",$E14)),ISNUMBER(SEARCH("社長",$E14)),ISNUMBER(SEARCH("出演",$E14)))),"◆","")</f>
        <v/>
      </c>
      <c r="AC14" s="55" t="str">
        <f aca="false">IF(AND(AC$7=$I14,OR(ISNUMBER(SEARCH("採用",$E14)),ISNUMBER(SEARCH("総務",$E14)),ISNUMBER(SEARCH("工場長",$E14)),ISNUMBER(SEARCH("社長",$E14)),ISNUMBER(SEARCH("出演",$E14)))),"◆","")</f>
        <v/>
      </c>
      <c r="AD14" s="55" t="str">
        <f aca="false">IF(AND(AD$7=$I14,OR(ISNUMBER(SEARCH("採用",$E14)),ISNUMBER(SEARCH("総務",$E14)),ISNUMBER(SEARCH("工場長",$E14)),ISNUMBER(SEARCH("社長",$E14)),ISNUMBER(SEARCH("出演",$E14)))),"◆","")</f>
        <v/>
      </c>
      <c r="AE14" s="55" t="str">
        <f aca="false">IF(AND(AE$7=$I14,OR(ISNUMBER(SEARCH("採用",$E14)),ISNUMBER(SEARCH("総務",$E14)),ISNUMBER(SEARCH("工場長",$E14)),ISNUMBER(SEARCH("社長",$E14)),ISNUMBER(SEARCH("出演",$E14)))),"◆","")</f>
        <v/>
      </c>
      <c r="AF14" s="55" t="str">
        <f aca="false">IF(AND(AF$7=$I14,OR(ISNUMBER(SEARCH("採用",$E14)),ISNUMBER(SEARCH("総務",$E14)),ISNUMBER(SEARCH("工場長",$E14)),ISNUMBER(SEARCH("社長",$E14)),ISNUMBER(SEARCH("出演",$E14)))),"◆","")</f>
        <v/>
      </c>
      <c r="AG14" s="55" t="str">
        <f aca="false">IF(AND(AG$7=$I14,OR(ISNUMBER(SEARCH("採用",$E14)),ISNUMBER(SEARCH("総務",$E14)),ISNUMBER(SEARCH("工場長",$E14)),ISNUMBER(SEARCH("社長",$E14)),ISNUMBER(SEARCH("出演",$E14)))),"◆","")</f>
        <v/>
      </c>
      <c r="AH14" s="55" t="str">
        <f aca="false">IF(AND(AH$7=$I14,OR(ISNUMBER(SEARCH("採用",$E14)),ISNUMBER(SEARCH("総務",$E14)),ISNUMBER(SEARCH("工場長",$E14)),ISNUMBER(SEARCH("社長",$E14)),ISNUMBER(SEARCH("出演",$E14)))),"◆","")</f>
        <v/>
      </c>
      <c r="AI14" s="55" t="str">
        <f aca="false">IF(AND(AI$7=$I14,OR(ISNUMBER(SEARCH("採用",$E14)),ISNUMBER(SEARCH("総務",$E14)),ISNUMBER(SEARCH("工場長",$E14)),ISNUMBER(SEARCH("社長",$E14)),ISNUMBER(SEARCH("出演",$E14)))),"◆","")</f>
        <v/>
      </c>
      <c r="AJ14" s="55" t="str">
        <f aca="false">IF(AND(AJ$7=$I14,OR(ISNUMBER(SEARCH("採用",$E14)),ISNUMBER(SEARCH("総務",$E14)),ISNUMBER(SEARCH("工場長",$E14)),ISNUMBER(SEARCH("社長",$E14)),ISNUMBER(SEARCH("出演",$E14)))),"◆","")</f>
        <v/>
      </c>
      <c r="AK14" s="55" t="str">
        <f aca="false">IF(AND(AK$7=$I14,OR(ISNUMBER(SEARCH("採用",$E14)),ISNUMBER(SEARCH("総務",$E14)),ISNUMBER(SEARCH("工場長",$E14)),ISNUMBER(SEARCH("社長",$E14)),ISNUMBER(SEARCH("出演",$E14)))),"◆","")</f>
        <v/>
      </c>
      <c r="AL14" s="55" t="str">
        <f aca="false">IF(AND(AL$7=$I14,OR(ISNUMBER(SEARCH("採用",$E14)),ISNUMBER(SEARCH("総務",$E14)),ISNUMBER(SEARCH("工場長",$E14)),ISNUMBER(SEARCH("社長",$E14)),ISNUMBER(SEARCH("出演",$E14)))),"◆","")</f>
        <v/>
      </c>
      <c r="AM14" s="55" t="str">
        <f aca="false">IF(AND(AM$7=$I14,OR(ISNUMBER(SEARCH("採用",$E14)),ISNUMBER(SEARCH("総務",$E14)),ISNUMBER(SEARCH("工場長",$E14)),ISNUMBER(SEARCH("社長",$E14)),ISNUMBER(SEARCH("出演",$E14)))),"◆","")</f>
        <v/>
      </c>
      <c r="AN14" s="55" t="str">
        <f aca="false">IF(AND(AN$7=$I14,OR(ISNUMBER(SEARCH("採用",$E14)),ISNUMBER(SEARCH("総務",$E14)),ISNUMBER(SEARCH("工場長",$E14)),ISNUMBER(SEARCH("社長",$E14)),ISNUMBER(SEARCH("出演",$E14)))),"◆","")</f>
        <v/>
      </c>
      <c r="AO14" s="55" t="str">
        <f aca="false">IF(AND(AO$7=$I14,OR(ISNUMBER(SEARCH("採用",$E14)),ISNUMBER(SEARCH("総務",$E14)),ISNUMBER(SEARCH("工場長",$E14)),ISNUMBER(SEARCH("社長",$E14)),ISNUMBER(SEARCH("出演",$E14)))),"◆","")</f>
        <v/>
      </c>
      <c r="AP14" s="55" t="str">
        <f aca="false">IF(AND(AP$7=$I14,OR(ISNUMBER(SEARCH("採用",$E14)),ISNUMBER(SEARCH("総務",$E14)),ISNUMBER(SEARCH("工場長",$E14)),ISNUMBER(SEARCH("社長",$E14)),ISNUMBER(SEARCH("出演",$E14)))),"◆","")</f>
        <v/>
      </c>
      <c r="AQ14" s="55" t="str">
        <f aca="false">IF(AND(AQ$7=$I14,OR(ISNUMBER(SEARCH("採用",$E14)),ISNUMBER(SEARCH("総務",$E14)),ISNUMBER(SEARCH("工場長",$E14)),ISNUMBER(SEARCH("社長",$E14)),ISNUMBER(SEARCH("出演",$E14)))),"◆","")</f>
        <v/>
      </c>
      <c r="AR14" s="55" t="str">
        <f aca="false">IF(AND(AR$7=$I14,OR(ISNUMBER(SEARCH("採用",$E14)),ISNUMBER(SEARCH("総務",$E14)),ISNUMBER(SEARCH("工場長",$E14)),ISNUMBER(SEARCH("社長",$E14)),ISNUMBER(SEARCH("出演",$E14)))),"◆","")</f>
        <v/>
      </c>
      <c r="AS14" s="55" t="str">
        <f aca="false">IF(AND(AS$7=$I14,OR(ISNUMBER(SEARCH("採用",$E14)),ISNUMBER(SEARCH("総務",$E14)),ISNUMBER(SEARCH("工場長",$E14)),ISNUMBER(SEARCH("社長",$E14)),ISNUMBER(SEARCH("出演",$E14)))),"◆","")</f>
        <v/>
      </c>
      <c r="AT14" s="55" t="str">
        <f aca="false">IF(AND(AT$7=$I14,OR(ISNUMBER(SEARCH("採用",$E14)),ISNUMBER(SEARCH("総務",$E14)),ISNUMBER(SEARCH("工場長",$E14)),ISNUMBER(SEARCH("社長",$E14)),ISNUMBER(SEARCH("出演",$E14)))),"◆","")</f>
        <v/>
      </c>
      <c r="AU14" s="55" t="str">
        <f aca="false">IF(AND(AU$7=$I14,OR(ISNUMBER(SEARCH("採用",$E14)),ISNUMBER(SEARCH("総務",$E14)),ISNUMBER(SEARCH("工場長",$E14)),ISNUMBER(SEARCH("社長",$E14)),ISNUMBER(SEARCH("出演",$E14)))),"◆","")</f>
        <v/>
      </c>
      <c r="AV14" s="55" t="str">
        <f aca="false">IF(AND(AV$7=$I14,OR(ISNUMBER(SEARCH("採用",$E14)),ISNUMBER(SEARCH("総務",$E14)),ISNUMBER(SEARCH("工場長",$E14)),ISNUMBER(SEARCH("社長",$E14)),ISNUMBER(SEARCH("出演",$E14)))),"◆","")</f>
        <v/>
      </c>
      <c r="AW14" s="55" t="str">
        <f aca="false">IF(AND(AW$7=$I14,OR(ISNUMBER(SEARCH("採用",$E14)),ISNUMBER(SEARCH("総務",$E14)),ISNUMBER(SEARCH("工場長",$E14)),ISNUMBER(SEARCH("社長",$E14)),ISNUMBER(SEARCH("出演",$E14)))),"◆","")</f>
        <v/>
      </c>
      <c r="AX14" s="55" t="str">
        <f aca="false">IF(AND(AX$7=$I14,OR(ISNUMBER(SEARCH("採用",$E14)),ISNUMBER(SEARCH("総務",$E14)),ISNUMBER(SEARCH("工場長",$E14)),ISNUMBER(SEARCH("社長",$E14)),ISNUMBER(SEARCH("出演",$E14)))),"◆","")</f>
        <v/>
      </c>
      <c r="AY14" s="55" t="str">
        <f aca="false">IF(AND(AY$7=$I14,OR(ISNUMBER(SEARCH("採用",$E14)),ISNUMBER(SEARCH("総務",$E14)),ISNUMBER(SEARCH("工場長",$E14)),ISNUMBER(SEARCH("社長",$E14)),ISNUMBER(SEARCH("出演",$E14)))),"◆","")</f>
        <v/>
      </c>
      <c r="AZ14" s="55" t="str">
        <f aca="false">IF(AND(AZ$7=$I14,OR(ISNUMBER(SEARCH("採用",$E14)),ISNUMBER(SEARCH("総務",$E14)),ISNUMBER(SEARCH("工場長",$E14)),ISNUMBER(SEARCH("社長",$E14)),ISNUMBER(SEARCH("出演",$E14)))),"◆","")</f>
        <v/>
      </c>
      <c r="BA14" s="55" t="str">
        <f aca="false">IF(AND(BA$7=$I14,OR(ISNUMBER(SEARCH("採用",$E14)),ISNUMBER(SEARCH("総務",$E14)),ISNUMBER(SEARCH("工場長",$E14)),ISNUMBER(SEARCH("社長",$E14)),ISNUMBER(SEARCH("出演",$E14)))),"◆","")</f>
        <v/>
      </c>
      <c r="BB14" s="55" t="str">
        <f aca="false">IF(AND(BB$7=$I14,OR(ISNUMBER(SEARCH("採用",$E14)),ISNUMBER(SEARCH("総務",$E14)),ISNUMBER(SEARCH("工場長",$E14)),ISNUMBER(SEARCH("社長",$E14)),ISNUMBER(SEARCH("出演",$E14)))),"◆","")</f>
        <v/>
      </c>
      <c r="BC14" s="55" t="str">
        <f aca="false">IF(AND(BC$7=$I14,OR(ISNUMBER(SEARCH("採用",$E14)),ISNUMBER(SEARCH("総務",$E14)),ISNUMBER(SEARCH("工場長",$E14)),ISNUMBER(SEARCH("社長",$E14)),ISNUMBER(SEARCH("出演",$E14)))),"◆","")</f>
        <v/>
      </c>
      <c r="BD14" s="55" t="str">
        <f aca="false">IF(AND(BD$7=$I14,OR(ISNUMBER(SEARCH("採用",$E14)),ISNUMBER(SEARCH("総務",$E14)),ISNUMBER(SEARCH("工場長",$E14)),ISNUMBER(SEARCH("社長",$E14)),ISNUMBER(SEARCH("出演",$E14)))),"◆","")</f>
        <v/>
      </c>
      <c r="BE14" s="55" t="str">
        <f aca="false">IF(AND(BE$7=$I14,OR(ISNUMBER(SEARCH("採用",$E14)),ISNUMBER(SEARCH("総務",$E14)),ISNUMBER(SEARCH("工場長",$E14)),ISNUMBER(SEARCH("社長",$E14)),ISNUMBER(SEARCH("出演",$E14)))),"◆","")</f>
        <v/>
      </c>
      <c r="BF14" s="55" t="str">
        <f aca="false">IF(AND(BF$7=$I14,OR(ISNUMBER(SEARCH("採用",$E14)),ISNUMBER(SEARCH("総務",$E14)),ISNUMBER(SEARCH("工場長",$E14)),ISNUMBER(SEARCH("社長",$E14)),ISNUMBER(SEARCH("出演",$E14)))),"◆","")</f>
        <v/>
      </c>
      <c r="BG14" s="55" t="str">
        <f aca="false">IF(AND(BG$7=$I14,OR(ISNUMBER(SEARCH("採用",$E14)),ISNUMBER(SEARCH("総務",$E14)),ISNUMBER(SEARCH("工場長",$E14)),ISNUMBER(SEARCH("社長",$E14)),ISNUMBER(SEARCH("出演",$E14)))),"◆","")</f>
        <v/>
      </c>
      <c r="BH14" s="55" t="str">
        <f aca="false">IF(AND(BH$7=$I14,OR(ISNUMBER(SEARCH("採用",$E14)),ISNUMBER(SEARCH("総務",$E14)),ISNUMBER(SEARCH("工場長",$E14)),ISNUMBER(SEARCH("社長",$E14)),ISNUMBER(SEARCH("出演",$E14)))),"◆","")</f>
        <v/>
      </c>
      <c r="BI14" s="55" t="str">
        <f aca="false">IF(AND(BI$7=$I14,OR(ISNUMBER(SEARCH("採用",$E14)),ISNUMBER(SEARCH("総務",$E14)),ISNUMBER(SEARCH("工場長",$E14)),ISNUMBER(SEARCH("社長",$E14)),ISNUMBER(SEARCH("出演",$E14)))),"◆","")</f>
        <v/>
      </c>
      <c r="BJ14" s="55" t="str">
        <f aca="false">IF(AND(BJ$7=$I14,OR(ISNUMBER(SEARCH("採用",$E14)),ISNUMBER(SEARCH("総務",$E14)),ISNUMBER(SEARCH("工場長",$E14)),ISNUMBER(SEARCH("社長",$E14)),ISNUMBER(SEARCH("出演",$E14)))),"◆","")</f>
        <v/>
      </c>
      <c r="BK14" s="55" t="str">
        <f aca="false">IF(AND(BK$7=$I14,OR(ISNUMBER(SEARCH("採用",$E14)),ISNUMBER(SEARCH("総務",$E14)),ISNUMBER(SEARCH("工場長",$E14)),ISNUMBER(SEARCH("社長",$E14)),ISNUMBER(SEARCH("出演",$E14)))),"◆","")</f>
        <v/>
      </c>
      <c r="BL14" s="55" t="str">
        <f aca="false">IF(AND(BL$7=$I14,OR(ISNUMBER(SEARCH("採用",$E14)),ISNUMBER(SEARCH("総務",$E14)),ISNUMBER(SEARCH("工場長",$E14)),ISNUMBER(SEARCH("社長",$E14)),ISNUMBER(SEARCH("出演",$E14)))),"◆","")</f>
        <v/>
      </c>
      <c r="BM14" s="55" t="str">
        <f aca="false">IF(AND(BM$7=$I14,OR(ISNUMBER(SEARCH("採用",$E14)),ISNUMBER(SEARCH("総務",$E14)),ISNUMBER(SEARCH("工場長",$E14)),ISNUMBER(SEARCH("社長",$E14)),ISNUMBER(SEARCH("出演",$E14)))),"◆","")</f>
        <v/>
      </c>
      <c r="BN14" s="55" t="str">
        <f aca="false">IF(AND(BN$7=$I14,OR(ISNUMBER(SEARCH("採用",$E14)),ISNUMBER(SEARCH("総務",$E14)),ISNUMBER(SEARCH("工場長",$E14)),ISNUMBER(SEARCH("社長",$E14)),ISNUMBER(SEARCH("出演",$E14)))),"◆","")</f>
        <v/>
      </c>
      <c r="BO14" s="55" t="str">
        <f aca="false">IF(AND(BO$7=$I14,OR(ISNUMBER(SEARCH("採用",$E14)),ISNUMBER(SEARCH("総務",$E14)),ISNUMBER(SEARCH("工場長",$E14)),ISNUMBER(SEARCH("社長",$E14)),ISNUMBER(SEARCH("出演",$E14)))),"◆","")</f>
        <v/>
      </c>
      <c r="BP14" s="55" t="str">
        <f aca="false">IF(AND(BP$7=$I14,OR(ISNUMBER(SEARCH("採用",$E14)),ISNUMBER(SEARCH("総務",$E14)),ISNUMBER(SEARCH("工場長",$E14)),ISNUMBER(SEARCH("社長",$E14)),ISNUMBER(SEARCH("出演",$E14)))),"◆","")</f>
        <v/>
      </c>
      <c r="BQ14" s="55" t="str">
        <f aca="false">IF(AND(BQ$7=$I14,OR(ISNUMBER(SEARCH("採用",$E14)),ISNUMBER(SEARCH("総務",$E14)),ISNUMBER(SEARCH("工場長",$E14)),ISNUMBER(SEARCH("社長",$E14)),ISNUMBER(SEARCH("出演",$E14)))),"◆","")</f>
        <v/>
      </c>
      <c r="BR14" s="55" t="str">
        <f aca="false">IF(AND(BR$7=$I14,OR(ISNUMBER(SEARCH("採用",$E14)),ISNUMBER(SEARCH("総務",$E14)),ISNUMBER(SEARCH("工場長",$E14)),ISNUMBER(SEARCH("社長",$E14)),ISNUMBER(SEARCH("出演",$E14)))),"◆","")</f>
        <v/>
      </c>
      <c r="BS14" s="55" t="str">
        <f aca="false">IF(AND(BS$7=$I14,OR(ISNUMBER(SEARCH("採用",$E14)),ISNUMBER(SEARCH("総務",$E14)),ISNUMBER(SEARCH("工場長",$E14)),ISNUMBER(SEARCH("社長",$E14)),ISNUMBER(SEARCH("出演",$E14)))),"◆","")</f>
        <v/>
      </c>
      <c r="BT14" s="55" t="str">
        <f aca="false">IF(AND(BT$7=$I14,OR(ISNUMBER(SEARCH("採用",$E14)),ISNUMBER(SEARCH("総務",$E14)),ISNUMBER(SEARCH("工場長",$E14)),ISNUMBER(SEARCH("社長",$E14)),ISNUMBER(SEARCH("出演",$E14)))),"◆","")</f>
        <v/>
      </c>
      <c r="BU14" s="55" t="str">
        <f aca="false">IF(AND(BU$7=$I14,OR(ISNUMBER(SEARCH("採用",$E14)),ISNUMBER(SEARCH("総務",$E14)),ISNUMBER(SEARCH("工場長",$E14)),ISNUMBER(SEARCH("社長",$E14)),ISNUMBER(SEARCH("出演",$E14)))),"◆","")</f>
        <v/>
      </c>
      <c r="BV14" s="55" t="str">
        <f aca="false">IF(AND(BV$7=$I14,OR(ISNUMBER(SEARCH("採用",$E14)),ISNUMBER(SEARCH("総務",$E14)),ISNUMBER(SEARCH("工場長",$E14)),ISNUMBER(SEARCH("社長",$E14)),ISNUMBER(SEARCH("出演",$E14)))),"◆","")</f>
        <v/>
      </c>
      <c r="BW14" s="55" t="str">
        <f aca="false">IF(AND(BW$7=$I14,OR(ISNUMBER(SEARCH("採用",$E14)),ISNUMBER(SEARCH("総務",$E14)),ISNUMBER(SEARCH("工場長",$E14)),ISNUMBER(SEARCH("社長",$E14)),ISNUMBER(SEARCH("出演",$E14)))),"◆","")</f>
        <v/>
      </c>
      <c r="BX14" s="55" t="str">
        <f aca="false">IF(AND(BX$7=$I14,OR(ISNUMBER(SEARCH("採用",$E14)),ISNUMBER(SEARCH("総務",$E14)),ISNUMBER(SEARCH("工場長",$E14)),ISNUMBER(SEARCH("社長",$E14)),ISNUMBER(SEARCH("出演",$E14)))),"◆","")</f>
        <v/>
      </c>
      <c r="BY14" s="55" t="str">
        <f aca="false">IF(AND(BY$7=$I14,OR(ISNUMBER(SEARCH("採用",$E14)),ISNUMBER(SEARCH("総務",$E14)),ISNUMBER(SEARCH("工場長",$E14)),ISNUMBER(SEARCH("社長",$E14)),ISNUMBER(SEARCH("出演",$E14)))),"◆","")</f>
        <v/>
      </c>
      <c r="BZ14" s="55" t="str">
        <f aca="false">IF(AND(BZ$7=$I14,OR(ISNUMBER(SEARCH("採用",$E14)),ISNUMBER(SEARCH("総務",$E14)),ISNUMBER(SEARCH("工場長",$E14)),ISNUMBER(SEARCH("社長",$E14)),ISNUMBER(SEARCH("出演",$E14)))),"◆","")</f>
        <v/>
      </c>
      <c r="CA14" s="55" t="str">
        <f aca="false">IF(AND(CA$7=$I14,OR(ISNUMBER(SEARCH("採用",$E14)),ISNUMBER(SEARCH("総務",$E14)),ISNUMBER(SEARCH("工場長",$E14)),ISNUMBER(SEARCH("社長",$E14)),ISNUMBER(SEARCH("出演",$E14)))),"◆","")</f>
        <v/>
      </c>
      <c r="CB14" s="55" t="str">
        <f aca="false">IF(AND(CB$7=$I14,OR(ISNUMBER(SEARCH("採用",$E14)),ISNUMBER(SEARCH("総務",$E14)),ISNUMBER(SEARCH("工場長",$E14)),ISNUMBER(SEARCH("社長",$E14)),ISNUMBER(SEARCH("出演",$E14)))),"◆","")</f>
        <v/>
      </c>
      <c r="CC14" s="55" t="str">
        <f aca="false">IF(AND(CC$7=$I14,OR(ISNUMBER(SEARCH("採用",$E14)),ISNUMBER(SEARCH("総務",$E14)),ISNUMBER(SEARCH("工場長",$E14)),ISNUMBER(SEARCH("社長",$E14)),ISNUMBER(SEARCH("出演",$E14)))),"◆","")</f>
        <v/>
      </c>
      <c r="CD14" s="55" t="str">
        <f aca="false">IF(AND(CD$7=$I14,OR(ISNUMBER(SEARCH("採用",$E14)),ISNUMBER(SEARCH("総務",$E14)),ISNUMBER(SEARCH("工場長",$E14)),ISNUMBER(SEARCH("社長",$E14)),ISNUMBER(SEARCH("出演",$E14)))),"◆","")</f>
        <v/>
      </c>
      <c r="CE14" s="55" t="str">
        <f aca="false">IF(AND(CE$7=$I14,OR(ISNUMBER(SEARCH("採用",$E14)),ISNUMBER(SEARCH("総務",$E14)),ISNUMBER(SEARCH("工場長",$E14)),ISNUMBER(SEARCH("社長",$E14)),ISNUMBER(SEARCH("出演",$E14)))),"◆","")</f>
        <v/>
      </c>
      <c r="CF14" s="55" t="str">
        <f aca="false">IF(AND(CF$7=$I14,OR(ISNUMBER(SEARCH("採用",$E14)),ISNUMBER(SEARCH("総務",$E14)),ISNUMBER(SEARCH("工場長",$E14)),ISNUMBER(SEARCH("社長",$E14)),ISNUMBER(SEARCH("出演",$E14)))),"◆","")</f>
        <v/>
      </c>
      <c r="CG14" s="55" t="str">
        <f aca="false">IF(AND(CG$7=$I14,OR(ISNUMBER(SEARCH("採用",$E14)),ISNUMBER(SEARCH("総務",$E14)),ISNUMBER(SEARCH("工場長",$E14)),ISNUMBER(SEARCH("社長",$E14)),ISNUMBER(SEARCH("出演",$E14)))),"◆","")</f>
        <v/>
      </c>
      <c r="CH14" s="55" t="str">
        <f aca="false">IF(AND(CH$7=$I14,OR(ISNUMBER(SEARCH("採用",$E14)),ISNUMBER(SEARCH("総務",$E14)),ISNUMBER(SEARCH("工場長",$E14)),ISNUMBER(SEARCH("社長",$E14)),ISNUMBER(SEARCH("出演",$E14)))),"◆","")</f>
        <v/>
      </c>
      <c r="CI14" s="55" t="str">
        <f aca="false">IF(AND(CI$7=$I14,OR(ISNUMBER(SEARCH("採用",$E14)),ISNUMBER(SEARCH("総務",$E14)),ISNUMBER(SEARCH("工場長",$E14)),ISNUMBER(SEARCH("社長",$E14)),ISNUMBER(SEARCH("出演",$E14)))),"◆","")</f>
        <v/>
      </c>
      <c r="CJ14" s="55" t="str">
        <f aca="false">IF(AND(CJ$7=$I14,OR(ISNUMBER(SEARCH("採用",$E14)),ISNUMBER(SEARCH("総務",$E14)),ISNUMBER(SEARCH("工場長",$E14)),ISNUMBER(SEARCH("社長",$E14)),ISNUMBER(SEARCH("出演",$E14)))),"◆","")</f>
        <v/>
      </c>
      <c r="CK14" s="55" t="str">
        <f aca="false">IF(AND(CK$7=$I14,OR(ISNUMBER(SEARCH("採用",$E14)),ISNUMBER(SEARCH("総務",$E14)),ISNUMBER(SEARCH("工場長",$E14)),ISNUMBER(SEARCH("社長",$E14)),ISNUMBER(SEARCH("出演",$E14)))),"◆","")</f>
        <v/>
      </c>
      <c r="CL14" s="55" t="str">
        <f aca="false">IF(AND(CL$7=$I14,OR(ISNUMBER(SEARCH("採用",$E14)),ISNUMBER(SEARCH("総務",$E14)),ISNUMBER(SEARCH("工場長",$E14)),ISNUMBER(SEARCH("社長",$E14)),ISNUMBER(SEARCH("出演",$E14)))),"◆","")</f>
        <v/>
      </c>
      <c r="CM14" s="55" t="str">
        <f aca="false">IF(AND(CM$7=$I14,OR(ISNUMBER(SEARCH("採用",$E14)),ISNUMBER(SEARCH("総務",$E14)),ISNUMBER(SEARCH("工場長",$E14)),ISNUMBER(SEARCH("社長",$E14)),ISNUMBER(SEARCH("出演",$E14)))),"◆","")</f>
        <v/>
      </c>
      <c r="CN14" s="55" t="str">
        <f aca="false">IF(AND(CN$7=$I14,OR(ISNUMBER(SEARCH("採用",$E14)),ISNUMBER(SEARCH("総務",$E14)),ISNUMBER(SEARCH("工場長",$E14)),ISNUMBER(SEARCH("社長",$E14)),ISNUMBER(SEARCH("出演",$E14)))),"◆","")</f>
        <v/>
      </c>
      <c r="CO14" s="55" t="str">
        <f aca="false">IF(AND(CO$7=$I14,OR(ISNUMBER(SEARCH("採用",$E14)),ISNUMBER(SEARCH("総務",$E14)),ISNUMBER(SEARCH("工場長",$E14)),ISNUMBER(SEARCH("社長",$E14)),ISNUMBER(SEARCH("出演",$E14)))),"◆","")</f>
        <v/>
      </c>
      <c r="CP14" s="55" t="str">
        <f aca="false">IF(AND(CP$7=$I14,OR(ISNUMBER(SEARCH("採用",$E14)),ISNUMBER(SEARCH("総務",$E14)),ISNUMBER(SEARCH("工場長",$E14)),ISNUMBER(SEARCH("社長",$E14)),ISNUMBER(SEARCH("出演",$E14)))),"◆","")</f>
        <v/>
      </c>
    </row>
    <row r="15" customFormat="false" ht="21.75" hidden="false" customHeight="true" outlineLevel="0" collapsed="false">
      <c r="A15" s="43" t="s">
        <v>74</v>
      </c>
      <c r="B15" s="43"/>
      <c r="C15" s="43"/>
      <c r="D15" s="43"/>
      <c r="E15" s="43"/>
      <c r="F15" s="44" t="s">
        <v>73</v>
      </c>
      <c r="G15" s="45" t="n">
        <f aca="false">MIN(制作工程表!G13:G15)</f>
        <v>46308</v>
      </c>
      <c r="H15" s="45" t="n">
        <f aca="false">MAX(制作工程表!H13:H15)</f>
        <v>46321</v>
      </c>
      <c r="I15" s="45" t="n">
        <f aca="false">IF(MAX(制作工程表!I13:I15)=0,"—",MAX(制作工程表!I13:I15))</f>
        <v>46321</v>
      </c>
      <c r="J15" s="46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</row>
    <row r="16" customFormat="false" ht="25.5" hidden="false" customHeight="true" outlineLevel="0" collapsed="false">
      <c r="A16" s="48" t="str">
        <f aca="false">制作工程表!A13</f>
        <v>T05</v>
      </c>
      <c r="B16" s="49" t="str">
        <f aca="false">制作工程表!B13</f>
        <v>取材準備</v>
      </c>
      <c r="C16" s="50" t="str">
        <f aca="false">制作工程表!C13</f>
        <v>質問案・撮影指示書の作成</v>
      </c>
      <c r="D16" s="51" t="str">
        <f aca="false">制作工程表!D13</f>
        <v>ライター・カメラマン</v>
      </c>
      <c r="E16" s="51" t="str">
        <f aca="false">制作工程表!E13</f>
        <v>—</v>
      </c>
      <c r="F16" s="52" t="str">
        <f aca="false">IF(制作工程表!B13="取材撮影","撮影",IF(OR(制作工程表!D13="採用担当",制作工程表!D13="総務窓口",制作工程表!D13="工場長"),"企業","制作"))</f>
        <v>制作</v>
      </c>
      <c r="G16" s="53" t="n">
        <f aca="false">制作工程表!G13</f>
        <v>46308</v>
      </c>
      <c r="H16" s="53" t="n">
        <f aca="false">制作工程表!H13</f>
        <v>46311</v>
      </c>
      <c r="I16" s="54" t="str">
        <f aca="false">制作工程表!I13</f>
        <v>—</v>
      </c>
      <c r="J16" s="49" t="str">
        <f aca="false">制作工程表!K13</f>
        <v>未着手</v>
      </c>
      <c r="K16" s="55" t="str">
        <f aca="false">IF(AND(K$7=$I16,OR(ISNUMBER(SEARCH("採用",$E16)),ISNUMBER(SEARCH("総務",$E16)),ISNUMBER(SEARCH("工場長",$E16)),ISNUMBER(SEARCH("社長",$E16)),ISNUMBER(SEARCH("出演",$E16)))),"◆","")</f>
        <v/>
      </c>
      <c r="L16" s="55" t="str">
        <f aca="false">IF(AND(L$7=$I16,OR(ISNUMBER(SEARCH("採用",$E16)),ISNUMBER(SEARCH("総務",$E16)),ISNUMBER(SEARCH("工場長",$E16)),ISNUMBER(SEARCH("社長",$E16)),ISNUMBER(SEARCH("出演",$E16)))),"◆","")</f>
        <v/>
      </c>
      <c r="M16" s="55" t="str">
        <f aca="false">IF(AND(M$7=$I16,OR(ISNUMBER(SEARCH("採用",$E16)),ISNUMBER(SEARCH("総務",$E16)),ISNUMBER(SEARCH("工場長",$E16)),ISNUMBER(SEARCH("社長",$E16)),ISNUMBER(SEARCH("出演",$E16)))),"◆","")</f>
        <v/>
      </c>
      <c r="N16" s="55" t="str">
        <f aca="false">IF(AND(N$7=$I16,OR(ISNUMBER(SEARCH("採用",$E16)),ISNUMBER(SEARCH("総務",$E16)),ISNUMBER(SEARCH("工場長",$E16)),ISNUMBER(SEARCH("社長",$E16)),ISNUMBER(SEARCH("出演",$E16)))),"◆","")</f>
        <v/>
      </c>
      <c r="O16" s="55" t="str">
        <f aca="false">IF(AND(O$7=$I16,OR(ISNUMBER(SEARCH("採用",$E16)),ISNUMBER(SEARCH("総務",$E16)),ISNUMBER(SEARCH("工場長",$E16)),ISNUMBER(SEARCH("社長",$E16)),ISNUMBER(SEARCH("出演",$E16)))),"◆","")</f>
        <v/>
      </c>
      <c r="P16" s="55" t="str">
        <f aca="false">IF(AND(P$7=$I16,OR(ISNUMBER(SEARCH("採用",$E16)),ISNUMBER(SEARCH("総務",$E16)),ISNUMBER(SEARCH("工場長",$E16)),ISNUMBER(SEARCH("社長",$E16)),ISNUMBER(SEARCH("出演",$E16)))),"◆","")</f>
        <v/>
      </c>
      <c r="Q16" s="55" t="str">
        <f aca="false">IF(AND(Q$7=$I16,OR(ISNUMBER(SEARCH("採用",$E16)),ISNUMBER(SEARCH("総務",$E16)),ISNUMBER(SEARCH("工場長",$E16)),ISNUMBER(SEARCH("社長",$E16)),ISNUMBER(SEARCH("出演",$E16)))),"◆","")</f>
        <v/>
      </c>
      <c r="R16" s="55" t="str">
        <f aca="false">IF(AND(R$7=$I16,OR(ISNUMBER(SEARCH("採用",$E16)),ISNUMBER(SEARCH("総務",$E16)),ISNUMBER(SEARCH("工場長",$E16)),ISNUMBER(SEARCH("社長",$E16)),ISNUMBER(SEARCH("出演",$E16)))),"◆","")</f>
        <v/>
      </c>
      <c r="S16" s="55" t="str">
        <f aca="false">IF(AND(S$7=$I16,OR(ISNUMBER(SEARCH("採用",$E16)),ISNUMBER(SEARCH("総務",$E16)),ISNUMBER(SEARCH("工場長",$E16)),ISNUMBER(SEARCH("社長",$E16)),ISNUMBER(SEARCH("出演",$E16)))),"◆","")</f>
        <v/>
      </c>
      <c r="T16" s="55" t="str">
        <f aca="false">IF(AND(T$7=$I16,OR(ISNUMBER(SEARCH("採用",$E16)),ISNUMBER(SEARCH("総務",$E16)),ISNUMBER(SEARCH("工場長",$E16)),ISNUMBER(SEARCH("社長",$E16)),ISNUMBER(SEARCH("出演",$E16)))),"◆","")</f>
        <v/>
      </c>
      <c r="U16" s="55" t="str">
        <f aca="false">IF(AND(U$7=$I16,OR(ISNUMBER(SEARCH("採用",$E16)),ISNUMBER(SEARCH("総務",$E16)),ISNUMBER(SEARCH("工場長",$E16)),ISNUMBER(SEARCH("社長",$E16)),ISNUMBER(SEARCH("出演",$E16)))),"◆","")</f>
        <v/>
      </c>
      <c r="V16" s="55" t="str">
        <f aca="false">IF(AND(V$7=$I16,OR(ISNUMBER(SEARCH("採用",$E16)),ISNUMBER(SEARCH("総務",$E16)),ISNUMBER(SEARCH("工場長",$E16)),ISNUMBER(SEARCH("社長",$E16)),ISNUMBER(SEARCH("出演",$E16)))),"◆","")</f>
        <v/>
      </c>
      <c r="W16" s="55" t="str">
        <f aca="false">IF(AND(W$7=$I16,OR(ISNUMBER(SEARCH("採用",$E16)),ISNUMBER(SEARCH("総務",$E16)),ISNUMBER(SEARCH("工場長",$E16)),ISNUMBER(SEARCH("社長",$E16)),ISNUMBER(SEARCH("出演",$E16)))),"◆","")</f>
        <v/>
      </c>
      <c r="X16" s="55" t="str">
        <f aca="false">IF(AND(X$7=$I16,OR(ISNUMBER(SEARCH("採用",$E16)),ISNUMBER(SEARCH("総務",$E16)),ISNUMBER(SEARCH("工場長",$E16)),ISNUMBER(SEARCH("社長",$E16)),ISNUMBER(SEARCH("出演",$E16)))),"◆","")</f>
        <v/>
      </c>
      <c r="Y16" s="55" t="str">
        <f aca="false">IF(AND(Y$7=$I16,OR(ISNUMBER(SEARCH("採用",$E16)),ISNUMBER(SEARCH("総務",$E16)),ISNUMBER(SEARCH("工場長",$E16)),ISNUMBER(SEARCH("社長",$E16)),ISNUMBER(SEARCH("出演",$E16)))),"◆","")</f>
        <v/>
      </c>
      <c r="Z16" s="55" t="str">
        <f aca="false">IF(AND(Z$7=$I16,OR(ISNUMBER(SEARCH("採用",$E16)),ISNUMBER(SEARCH("総務",$E16)),ISNUMBER(SEARCH("工場長",$E16)),ISNUMBER(SEARCH("社長",$E16)),ISNUMBER(SEARCH("出演",$E16)))),"◆","")</f>
        <v/>
      </c>
      <c r="AA16" s="55" t="str">
        <f aca="false">IF(AND(AA$7=$I16,OR(ISNUMBER(SEARCH("採用",$E16)),ISNUMBER(SEARCH("総務",$E16)),ISNUMBER(SEARCH("工場長",$E16)),ISNUMBER(SEARCH("社長",$E16)),ISNUMBER(SEARCH("出演",$E16)))),"◆","")</f>
        <v/>
      </c>
      <c r="AB16" s="55" t="str">
        <f aca="false">IF(AND(AB$7=$I16,OR(ISNUMBER(SEARCH("採用",$E16)),ISNUMBER(SEARCH("総務",$E16)),ISNUMBER(SEARCH("工場長",$E16)),ISNUMBER(SEARCH("社長",$E16)),ISNUMBER(SEARCH("出演",$E16)))),"◆","")</f>
        <v/>
      </c>
      <c r="AC16" s="55" t="str">
        <f aca="false">IF(AND(AC$7=$I16,OR(ISNUMBER(SEARCH("採用",$E16)),ISNUMBER(SEARCH("総務",$E16)),ISNUMBER(SEARCH("工場長",$E16)),ISNUMBER(SEARCH("社長",$E16)),ISNUMBER(SEARCH("出演",$E16)))),"◆","")</f>
        <v/>
      </c>
      <c r="AD16" s="55" t="str">
        <f aca="false">IF(AND(AD$7=$I16,OR(ISNUMBER(SEARCH("採用",$E16)),ISNUMBER(SEARCH("総務",$E16)),ISNUMBER(SEARCH("工場長",$E16)),ISNUMBER(SEARCH("社長",$E16)),ISNUMBER(SEARCH("出演",$E16)))),"◆","")</f>
        <v/>
      </c>
      <c r="AE16" s="55" t="str">
        <f aca="false">IF(AND(AE$7=$I16,OR(ISNUMBER(SEARCH("採用",$E16)),ISNUMBER(SEARCH("総務",$E16)),ISNUMBER(SEARCH("工場長",$E16)),ISNUMBER(SEARCH("社長",$E16)),ISNUMBER(SEARCH("出演",$E16)))),"◆","")</f>
        <v/>
      </c>
      <c r="AF16" s="55" t="str">
        <f aca="false">IF(AND(AF$7=$I16,OR(ISNUMBER(SEARCH("採用",$E16)),ISNUMBER(SEARCH("総務",$E16)),ISNUMBER(SEARCH("工場長",$E16)),ISNUMBER(SEARCH("社長",$E16)),ISNUMBER(SEARCH("出演",$E16)))),"◆","")</f>
        <v/>
      </c>
      <c r="AG16" s="55" t="str">
        <f aca="false">IF(AND(AG$7=$I16,OR(ISNUMBER(SEARCH("採用",$E16)),ISNUMBER(SEARCH("総務",$E16)),ISNUMBER(SEARCH("工場長",$E16)),ISNUMBER(SEARCH("社長",$E16)),ISNUMBER(SEARCH("出演",$E16)))),"◆","")</f>
        <v/>
      </c>
      <c r="AH16" s="55" t="str">
        <f aca="false">IF(AND(AH$7=$I16,OR(ISNUMBER(SEARCH("採用",$E16)),ISNUMBER(SEARCH("総務",$E16)),ISNUMBER(SEARCH("工場長",$E16)),ISNUMBER(SEARCH("社長",$E16)),ISNUMBER(SEARCH("出演",$E16)))),"◆","")</f>
        <v/>
      </c>
      <c r="AI16" s="55" t="str">
        <f aca="false">IF(AND(AI$7=$I16,OR(ISNUMBER(SEARCH("採用",$E16)),ISNUMBER(SEARCH("総務",$E16)),ISNUMBER(SEARCH("工場長",$E16)),ISNUMBER(SEARCH("社長",$E16)),ISNUMBER(SEARCH("出演",$E16)))),"◆","")</f>
        <v/>
      </c>
      <c r="AJ16" s="55" t="str">
        <f aca="false">IF(AND(AJ$7=$I16,OR(ISNUMBER(SEARCH("採用",$E16)),ISNUMBER(SEARCH("総務",$E16)),ISNUMBER(SEARCH("工場長",$E16)),ISNUMBER(SEARCH("社長",$E16)),ISNUMBER(SEARCH("出演",$E16)))),"◆","")</f>
        <v/>
      </c>
      <c r="AK16" s="55" t="str">
        <f aca="false">IF(AND(AK$7=$I16,OR(ISNUMBER(SEARCH("採用",$E16)),ISNUMBER(SEARCH("総務",$E16)),ISNUMBER(SEARCH("工場長",$E16)),ISNUMBER(SEARCH("社長",$E16)),ISNUMBER(SEARCH("出演",$E16)))),"◆","")</f>
        <v/>
      </c>
      <c r="AL16" s="55" t="str">
        <f aca="false">IF(AND(AL$7=$I16,OR(ISNUMBER(SEARCH("採用",$E16)),ISNUMBER(SEARCH("総務",$E16)),ISNUMBER(SEARCH("工場長",$E16)),ISNUMBER(SEARCH("社長",$E16)),ISNUMBER(SEARCH("出演",$E16)))),"◆","")</f>
        <v/>
      </c>
      <c r="AM16" s="55" t="str">
        <f aca="false">IF(AND(AM$7=$I16,OR(ISNUMBER(SEARCH("採用",$E16)),ISNUMBER(SEARCH("総務",$E16)),ISNUMBER(SEARCH("工場長",$E16)),ISNUMBER(SEARCH("社長",$E16)),ISNUMBER(SEARCH("出演",$E16)))),"◆","")</f>
        <v/>
      </c>
      <c r="AN16" s="55" t="str">
        <f aca="false">IF(AND(AN$7=$I16,OR(ISNUMBER(SEARCH("採用",$E16)),ISNUMBER(SEARCH("総務",$E16)),ISNUMBER(SEARCH("工場長",$E16)),ISNUMBER(SEARCH("社長",$E16)),ISNUMBER(SEARCH("出演",$E16)))),"◆","")</f>
        <v/>
      </c>
      <c r="AO16" s="55" t="str">
        <f aca="false">IF(AND(AO$7=$I16,OR(ISNUMBER(SEARCH("採用",$E16)),ISNUMBER(SEARCH("総務",$E16)),ISNUMBER(SEARCH("工場長",$E16)),ISNUMBER(SEARCH("社長",$E16)),ISNUMBER(SEARCH("出演",$E16)))),"◆","")</f>
        <v/>
      </c>
      <c r="AP16" s="55" t="str">
        <f aca="false">IF(AND(AP$7=$I16,OR(ISNUMBER(SEARCH("採用",$E16)),ISNUMBER(SEARCH("総務",$E16)),ISNUMBER(SEARCH("工場長",$E16)),ISNUMBER(SEARCH("社長",$E16)),ISNUMBER(SEARCH("出演",$E16)))),"◆","")</f>
        <v/>
      </c>
      <c r="AQ16" s="55" t="str">
        <f aca="false">IF(AND(AQ$7=$I16,OR(ISNUMBER(SEARCH("採用",$E16)),ISNUMBER(SEARCH("総務",$E16)),ISNUMBER(SEARCH("工場長",$E16)),ISNUMBER(SEARCH("社長",$E16)),ISNUMBER(SEARCH("出演",$E16)))),"◆","")</f>
        <v/>
      </c>
      <c r="AR16" s="55" t="str">
        <f aca="false">IF(AND(AR$7=$I16,OR(ISNUMBER(SEARCH("採用",$E16)),ISNUMBER(SEARCH("総務",$E16)),ISNUMBER(SEARCH("工場長",$E16)),ISNUMBER(SEARCH("社長",$E16)),ISNUMBER(SEARCH("出演",$E16)))),"◆","")</f>
        <v/>
      </c>
      <c r="AS16" s="55" t="str">
        <f aca="false">IF(AND(AS$7=$I16,OR(ISNUMBER(SEARCH("採用",$E16)),ISNUMBER(SEARCH("総務",$E16)),ISNUMBER(SEARCH("工場長",$E16)),ISNUMBER(SEARCH("社長",$E16)),ISNUMBER(SEARCH("出演",$E16)))),"◆","")</f>
        <v/>
      </c>
      <c r="AT16" s="55" t="str">
        <f aca="false">IF(AND(AT$7=$I16,OR(ISNUMBER(SEARCH("採用",$E16)),ISNUMBER(SEARCH("総務",$E16)),ISNUMBER(SEARCH("工場長",$E16)),ISNUMBER(SEARCH("社長",$E16)),ISNUMBER(SEARCH("出演",$E16)))),"◆","")</f>
        <v/>
      </c>
      <c r="AU16" s="55" t="str">
        <f aca="false">IF(AND(AU$7=$I16,OR(ISNUMBER(SEARCH("採用",$E16)),ISNUMBER(SEARCH("総務",$E16)),ISNUMBER(SEARCH("工場長",$E16)),ISNUMBER(SEARCH("社長",$E16)),ISNUMBER(SEARCH("出演",$E16)))),"◆","")</f>
        <v/>
      </c>
      <c r="AV16" s="55" t="str">
        <f aca="false">IF(AND(AV$7=$I16,OR(ISNUMBER(SEARCH("採用",$E16)),ISNUMBER(SEARCH("総務",$E16)),ISNUMBER(SEARCH("工場長",$E16)),ISNUMBER(SEARCH("社長",$E16)),ISNUMBER(SEARCH("出演",$E16)))),"◆","")</f>
        <v/>
      </c>
      <c r="AW16" s="55" t="str">
        <f aca="false">IF(AND(AW$7=$I16,OR(ISNUMBER(SEARCH("採用",$E16)),ISNUMBER(SEARCH("総務",$E16)),ISNUMBER(SEARCH("工場長",$E16)),ISNUMBER(SEARCH("社長",$E16)),ISNUMBER(SEARCH("出演",$E16)))),"◆","")</f>
        <v/>
      </c>
      <c r="AX16" s="55" t="str">
        <f aca="false">IF(AND(AX$7=$I16,OR(ISNUMBER(SEARCH("採用",$E16)),ISNUMBER(SEARCH("総務",$E16)),ISNUMBER(SEARCH("工場長",$E16)),ISNUMBER(SEARCH("社長",$E16)),ISNUMBER(SEARCH("出演",$E16)))),"◆","")</f>
        <v/>
      </c>
      <c r="AY16" s="55" t="str">
        <f aca="false">IF(AND(AY$7=$I16,OR(ISNUMBER(SEARCH("採用",$E16)),ISNUMBER(SEARCH("総務",$E16)),ISNUMBER(SEARCH("工場長",$E16)),ISNUMBER(SEARCH("社長",$E16)),ISNUMBER(SEARCH("出演",$E16)))),"◆","")</f>
        <v/>
      </c>
      <c r="AZ16" s="55" t="str">
        <f aca="false">IF(AND(AZ$7=$I16,OR(ISNUMBER(SEARCH("採用",$E16)),ISNUMBER(SEARCH("総務",$E16)),ISNUMBER(SEARCH("工場長",$E16)),ISNUMBER(SEARCH("社長",$E16)),ISNUMBER(SEARCH("出演",$E16)))),"◆","")</f>
        <v/>
      </c>
      <c r="BA16" s="55" t="str">
        <f aca="false">IF(AND(BA$7=$I16,OR(ISNUMBER(SEARCH("採用",$E16)),ISNUMBER(SEARCH("総務",$E16)),ISNUMBER(SEARCH("工場長",$E16)),ISNUMBER(SEARCH("社長",$E16)),ISNUMBER(SEARCH("出演",$E16)))),"◆","")</f>
        <v/>
      </c>
      <c r="BB16" s="55" t="str">
        <f aca="false">IF(AND(BB$7=$I16,OR(ISNUMBER(SEARCH("採用",$E16)),ISNUMBER(SEARCH("総務",$E16)),ISNUMBER(SEARCH("工場長",$E16)),ISNUMBER(SEARCH("社長",$E16)),ISNUMBER(SEARCH("出演",$E16)))),"◆","")</f>
        <v/>
      </c>
      <c r="BC16" s="55" t="str">
        <f aca="false">IF(AND(BC$7=$I16,OR(ISNUMBER(SEARCH("採用",$E16)),ISNUMBER(SEARCH("総務",$E16)),ISNUMBER(SEARCH("工場長",$E16)),ISNUMBER(SEARCH("社長",$E16)),ISNUMBER(SEARCH("出演",$E16)))),"◆","")</f>
        <v/>
      </c>
      <c r="BD16" s="55" t="str">
        <f aca="false">IF(AND(BD$7=$I16,OR(ISNUMBER(SEARCH("採用",$E16)),ISNUMBER(SEARCH("総務",$E16)),ISNUMBER(SEARCH("工場長",$E16)),ISNUMBER(SEARCH("社長",$E16)),ISNUMBER(SEARCH("出演",$E16)))),"◆","")</f>
        <v/>
      </c>
      <c r="BE16" s="55" t="str">
        <f aca="false">IF(AND(BE$7=$I16,OR(ISNUMBER(SEARCH("採用",$E16)),ISNUMBER(SEARCH("総務",$E16)),ISNUMBER(SEARCH("工場長",$E16)),ISNUMBER(SEARCH("社長",$E16)),ISNUMBER(SEARCH("出演",$E16)))),"◆","")</f>
        <v/>
      </c>
      <c r="BF16" s="55" t="str">
        <f aca="false">IF(AND(BF$7=$I16,OR(ISNUMBER(SEARCH("採用",$E16)),ISNUMBER(SEARCH("総務",$E16)),ISNUMBER(SEARCH("工場長",$E16)),ISNUMBER(SEARCH("社長",$E16)),ISNUMBER(SEARCH("出演",$E16)))),"◆","")</f>
        <v/>
      </c>
      <c r="BG16" s="55" t="str">
        <f aca="false">IF(AND(BG$7=$I16,OR(ISNUMBER(SEARCH("採用",$E16)),ISNUMBER(SEARCH("総務",$E16)),ISNUMBER(SEARCH("工場長",$E16)),ISNUMBER(SEARCH("社長",$E16)),ISNUMBER(SEARCH("出演",$E16)))),"◆","")</f>
        <v/>
      </c>
      <c r="BH16" s="55" t="str">
        <f aca="false">IF(AND(BH$7=$I16,OR(ISNUMBER(SEARCH("採用",$E16)),ISNUMBER(SEARCH("総務",$E16)),ISNUMBER(SEARCH("工場長",$E16)),ISNUMBER(SEARCH("社長",$E16)),ISNUMBER(SEARCH("出演",$E16)))),"◆","")</f>
        <v/>
      </c>
      <c r="BI16" s="55" t="str">
        <f aca="false">IF(AND(BI$7=$I16,OR(ISNUMBER(SEARCH("採用",$E16)),ISNUMBER(SEARCH("総務",$E16)),ISNUMBER(SEARCH("工場長",$E16)),ISNUMBER(SEARCH("社長",$E16)),ISNUMBER(SEARCH("出演",$E16)))),"◆","")</f>
        <v/>
      </c>
      <c r="BJ16" s="55" t="str">
        <f aca="false">IF(AND(BJ$7=$I16,OR(ISNUMBER(SEARCH("採用",$E16)),ISNUMBER(SEARCH("総務",$E16)),ISNUMBER(SEARCH("工場長",$E16)),ISNUMBER(SEARCH("社長",$E16)),ISNUMBER(SEARCH("出演",$E16)))),"◆","")</f>
        <v/>
      </c>
      <c r="BK16" s="55" t="str">
        <f aca="false">IF(AND(BK$7=$I16,OR(ISNUMBER(SEARCH("採用",$E16)),ISNUMBER(SEARCH("総務",$E16)),ISNUMBER(SEARCH("工場長",$E16)),ISNUMBER(SEARCH("社長",$E16)),ISNUMBER(SEARCH("出演",$E16)))),"◆","")</f>
        <v/>
      </c>
      <c r="BL16" s="55" t="str">
        <f aca="false">IF(AND(BL$7=$I16,OR(ISNUMBER(SEARCH("採用",$E16)),ISNUMBER(SEARCH("総務",$E16)),ISNUMBER(SEARCH("工場長",$E16)),ISNUMBER(SEARCH("社長",$E16)),ISNUMBER(SEARCH("出演",$E16)))),"◆","")</f>
        <v/>
      </c>
      <c r="BM16" s="55" t="str">
        <f aca="false">IF(AND(BM$7=$I16,OR(ISNUMBER(SEARCH("採用",$E16)),ISNUMBER(SEARCH("総務",$E16)),ISNUMBER(SEARCH("工場長",$E16)),ISNUMBER(SEARCH("社長",$E16)),ISNUMBER(SEARCH("出演",$E16)))),"◆","")</f>
        <v/>
      </c>
      <c r="BN16" s="55" t="str">
        <f aca="false">IF(AND(BN$7=$I16,OR(ISNUMBER(SEARCH("採用",$E16)),ISNUMBER(SEARCH("総務",$E16)),ISNUMBER(SEARCH("工場長",$E16)),ISNUMBER(SEARCH("社長",$E16)),ISNUMBER(SEARCH("出演",$E16)))),"◆","")</f>
        <v/>
      </c>
      <c r="BO16" s="55" t="str">
        <f aca="false">IF(AND(BO$7=$I16,OR(ISNUMBER(SEARCH("採用",$E16)),ISNUMBER(SEARCH("総務",$E16)),ISNUMBER(SEARCH("工場長",$E16)),ISNUMBER(SEARCH("社長",$E16)),ISNUMBER(SEARCH("出演",$E16)))),"◆","")</f>
        <v/>
      </c>
      <c r="BP16" s="55" t="str">
        <f aca="false">IF(AND(BP$7=$I16,OR(ISNUMBER(SEARCH("採用",$E16)),ISNUMBER(SEARCH("総務",$E16)),ISNUMBER(SEARCH("工場長",$E16)),ISNUMBER(SEARCH("社長",$E16)),ISNUMBER(SEARCH("出演",$E16)))),"◆","")</f>
        <v/>
      </c>
      <c r="BQ16" s="55" t="str">
        <f aca="false">IF(AND(BQ$7=$I16,OR(ISNUMBER(SEARCH("採用",$E16)),ISNUMBER(SEARCH("総務",$E16)),ISNUMBER(SEARCH("工場長",$E16)),ISNUMBER(SEARCH("社長",$E16)),ISNUMBER(SEARCH("出演",$E16)))),"◆","")</f>
        <v/>
      </c>
      <c r="BR16" s="55" t="str">
        <f aca="false">IF(AND(BR$7=$I16,OR(ISNUMBER(SEARCH("採用",$E16)),ISNUMBER(SEARCH("総務",$E16)),ISNUMBER(SEARCH("工場長",$E16)),ISNUMBER(SEARCH("社長",$E16)),ISNUMBER(SEARCH("出演",$E16)))),"◆","")</f>
        <v/>
      </c>
      <c r="BS16" s="55" t="str">
        <f aca="false">IF(AND(BS$7=$I16,OR(ISNUMBER(SEARCH("採用",$E16)),ISNUMBER(SEARCH("総務",$E16)),ISNUMBER(SEARCH("工場長",$E16)),ISNUMBER(SEARCH("社長",$E16)),ISNUMBER(SEARCH("出演",$E16)))),"◆","")</f>
        <v/>
      </c>
      <c r="BT16" s="55" t="str">
        <f aca="false">IF(AND(BT$7=$I16,OR(ISNUMBER(SEARCH("採用",$E16)),ISNUMBER(SEARCH("総務",$E16)),ISNUMBER(SEARCH("工場長",$E16)),ISNUMBER(SEARCH("社長",$E16)),ISNUMBER(SEARCH("出演",$E16)))),"◆","")</f>
        <v/>
      </c>
      <c r="BU16" s="55" t="str">
        <f aca="false">IF(AND(BU$7=$I16,OR(ISNUMBER(SEARCH("採用",$E16)),ISNUMBER(SEARCH("総務",$E16)),ISNUMBER(SEARCH("工場長",$E16)),ISNUMBER(SEARCH("社長",$E16)),ISNUMBER(SEARCH("出演",$E16)))),"◆","")</f>
        <v/>
      </c>
      <c r="BV16" s="55" t="str">
        <f aca="false">IF(AND(BV$7=$I16,OR(ISNUMBER(SEARCH("採用",$E16)),ISNUMBER(SEARCH("総務",$E16)),ISNUMBER(SEARCH("工場長",$E16)),ISNUMBER(SEARCH("社長",$E16)),ISNUMBER(SEARCH("出演",$E16)))),"◆","")</f>
        <v/>
      </c>
      <c r="BW16" s="55" t="str">
        <f aca="false">IF(AND(BW$7=$I16,OR(ISNUMBER(SEARCH("採用",$E16)),ISNUMBER(SEARCH("総務",$E16)),ISNUMBER(SEARCH("工場長",$E16)),ISNUMBER(SEARCH("社長",$E16)),ISNUMBER(SEARCH("出演",$E16)))),"◆","")</f>
        <v/>
      </c>
      <c r="BX16" s="55" t="str">
        <f aca="false">IF(AND(BX$7=$I16,OR(ISNUMBER(SEARCH("採用",$E16)),ISNUMBER(SEARCH("総務",$E16)),ISNUMBER(SEARCH("工場長",$E16)),ISNUMBER(SEARCH("社長",$E16)),ISNUMBER(SEARCH("出演",$E16)))),"◆","")</f>
        <v/>
      </c>
      <c r="BY16" s="55" t="str">
        <f aca="false">IF(AND(BY$7=$I16,OR(ISNUMBER(SEARCH("採用",$E16)),ISNUMBER(SEARCH("総務",$E16)),ISNUMBER(SEARCH("工場長",$E16)),ISNUMBER(SEARCH("社長",$E16)),ISNUMBER(SEARCH("出演",$E16)))),"◆","")</f>
        <v/>
      </c>
      <c r="BZ16" s="55" t="str">
        <f aca="false">IF(AND(BZ$7=$I16,OR(ISNUMBER(SEARCH("採用",$E16)),ISNUMBER(SEARCH("総務",$E16)),ISNUMBER(SEARCH("工場長",$E16)),ISNUMBER(SEARCH("社長",$E16)),ISNUMBER(SEARCH("出演",$E16)))),"◆","")</f>
        <v/>
      </c>
      <c r="CA16" s="55" t="str">
        <f aca="false">IF(AND(CA$7=$I16,OR(ISNUMBER(SEARCH("採用",$E16)),ISNUMBER(SEARCH("総務",$E16)),ISNUMBER(SEARCH("工場長",$E16)),ISNUMBER(SEARCH("社長",$E16)),ISNUMBER(SEARCH("出演",$E16)))),"◆","")</f>
        <v/>
      </c>
      <c r="CB16" s="55" t="str">
        <f aca="false">IF(AND(CB$7=$I16,OR(ISNUMBER(SEARCH("採用",$E16)),ISNUMBER(SEARCH("総務",$E16)),ISNUMBER(SEARCH("工場長",$E16)),ISNUMBER(SEARCH("社長",$E16)),ISNUMBER(SEARCH("出演",$E16)))),"◆","")</f>
        <v/>
      </c>
      <c r="CC16" s="55" t="str">
        <f aca="false">IF(AND(CC$7=$I16,OR(ISNUMBER(SEARCH("採用",$E16)),ISNUMBER(SEARCH("総務",$E16)),ISNUMBER(SEARCH("工場長",$E16)),ISNUMBER(SEARCH("社長",$E16)),ISNUMBER(SEARCH("出演",$E16)))),"◆","")</f>
        <v/>
      </c>
      <c r="CD16" s="55" t="str">
        <f aca="false">IF(AND(CD$7=$I16,OR(ISNUMBER(SEARCH("採用",$E16)),ISNUMBER(SEARCH("総務",$E16)),ISNUMBER(SEARCH("工場長",$E16)),ISNUMBER(SEARCH("社長",$E16)),ISNUMBER(SEARCH("出演",$E16)))),"◆","")</f>
        <v/>
      </c>
      <c r="CE16" s="55" t="str">
        <f aca="false">IF(AND(CE$7=$I16,OR(ISNUMBER(SEARCH("採用",$E16)),ISNUMBER(SEARCH("総務",$E16)),ISNUMBER(SEARCH("工場長",$E16)),ISNUMBER(SEARCH("社長",$E16)),ISNUMBER(SEARCH("出演",$E16)))),"◆","")</f>
        <v/>
      </c>
      <c r="CF16" s="55" t="str">
        <f aca="false">IF(AND(CF$7=$I16,OR(ISNUMBER(SEARCH("採用",$E16)),ISNUMBER(SEARCH("総務",$E16)),ISNUMBER(SEARCH("工場長",$E16)),ISNUMBER(SEARCH("社長",$E16)),ISNUMBER(SEARCH("出演",$E16)))),"◆","")</f>
        <v/>
      </c>
      <c r="CG16" s="55" t="str">
        <f aca="false">IF(AND(CG$7=$I16,OR(ISNUMBER(SEARCH("採用",$E16)),ISNUMBER(SEARCH("総務",$E16)),ISNUMBER(SEARCH("工場長",$E16)),ISNUMBER(SEARCH("社長",$E16)),ISNUMBER(SEARCH("出演",$E16)))),"◆","")</f>
        <v/>
      </c>
      <c r="CH16" s="55" t="str">
        <f aca="false">IF(AND(CH$7=$I16,OR(ISNUMBER(SEARCH("採用",$E16)),ISNUMBER(SEARCH("総務",$E16)),ISNUMBER(SEARCH("工場長",$E16)),ISNUMBER(SEARCH("社長",$E16)),ISNUMBER(SEARCH("出演",$E16)))),"◆","")</f>
        <v/>
      </c>
      <c r="CI16" s="55" t="str">
        <f aca="false">IF(AND(CI$7=$I16,OR(ISNUMBER(SEARCH("採用",$E16)),ISNUMBER(SEARCH("総務",$E16)),ISNUMBER(SEARCH("工場長",$E16)),ISNUMBER(SEARCH("社長",$E16)),ISNUMBER(SEARCH("出演",$E16)))),"◆","")</f>
        <v/>
      </c>
      <c r="CJ16" s="55" t="str">
        <f aca="false">IF(AND(CJ$7=$I16,OR(ISNUMBER(SEARCH("採用",$E16)),ISNUMBER(SEARCH("総務",$E16)),ISNUMBER(SEARCH("工場長",$E16)),ISNUMBER(SEARCH("社長",$E16)),ISNUMBER(SEARCH("出演",$E16)))),"◆","")</f>
        <v/>
      </c>
      <c r="CK16" s="55" t="str">
        <f aca="false">IF(AND(CK$7=$I16,OR(ISNUMBER(SEARCH("採用",$E16)),ISNUMBER(SEARCH("総務",$E16)),ISNUMBER(SEARCH("工場長",$E16)),ISNUMBER(SEARCH("社長",$E16)),ISNUMBER(SEARCH("出演",$E16)))),"◆","")</f>
        <v/>
      </c>
      <c r="CL16" s="55" t="str">
        <f aca="false">IF(AND(CL$7=$I16,OR(ISNUMBER(SEARCH("採用",$E16)),ISNUMBER(SEARCH("総務",$E16)),ISNUMBER(SEARCH("工場長",$E16)),ISNUMBER(SEARCH("社長",$E16)),ISNUMBER(SEARCH("出演",$E16)))),"◆","")</f>
        <v/>
      </c>
      <c r="CM16" s="55" t="str">
        <f aca="false">IF(AND(CM$7=$I16,OR(ISNUMBER(SEARCH("採用",$E16)),ISNUMBER(SEARCH("総務",$E16)),ISNUMBER(SEARCH("工場長",$E16)),ISNUMBER(SEARCH("社長",$E16)),ISNUMBER(SEARCH("出演",$E16)))),"◆","")</f>
        <v/>
      </c>
      <c r="CN16" s="55" t="str">
        <f aca="false">IF(AND(CN$7=$I16,OR(ISNUMBER(SEARCH("採用",$E16)),ISNUMBER(SEARCH("総務",$E16)),ISNUMBER(SEARCH("工場長",$E16)),ISNUMBER(SEARCH("社長",$E16)),ISNUMBER(SEARCH("出演",$E16)))),"◆","")</f>
        <v/>
      </c>
      <c r="CO16" s="55" t="str">
        <f aca="false">IF(AND(CO$7=$I16,OR(ISNUMBER(SEARCH("採用",$E16)),ISNUMBER(SEARCH("総務",$E16)),ISNUMBER(SEARCH("工場長",$E16)),ISNUMBER(SEARCH("社長",$E16)),ISNUMBER(SEARCH("出演",$E16)))),"◆","")</f>
        <v/>
      </c>
      <c r="CP16" s="55" t="str">
        <f aca="false">IF(AND(CP$7=$I16,OR(ISNUMBER(SEARCH("採用",$E16)),ISNUMBER(SEARCH("総務",$E16)),ISNUMBER(SEARCH("工場長",$E16)),ISNUMBER(SEARCH("社長",$E16)),ISNUMBER(SEARCH("出演",$E16)))),"◆","")</f>
        <v/>
      </c>
    </row>
    <row r="17" customFormat="false" ht="25.5" hidden="false" customHeight="true" outlineLevel="0" collapsed="false">
      <c r="A17" s="48" t="str">
        <f aca="false">制作工程表!A14</f>
        <v>T06</v>
      </c>
      <c r="B17" s="49" t="str">
        <f aca="false">制作工程表!B14</f>
        <v>取材準備</v>
      </c>
      <c r="C17" s="50" t="str">
        <f aca="false">制作工程表!C14</f>
        <v>出演者・撮影エリア・許諾の調整</v>
      </c>
      <c r="D17" s="51" t="str">
        <f aca="false">制作工程表!D14</f>
        <v>総務窓口</v>
      </c>
      <c r="E17" s="51" t="str">
        <f aca="false">制作工程表!E14</f>
        <v>工場長・出演者</v>
      </c>
      <c r="F17" s="52" t="str">
        <f aca="false">IF(制作工程表!B14="取材撮影","撮影",IF(OR(制作工程表!D14="採用担当",制作工程表!D14="総務窓口",制作工程表!D14="工場長"),"企業","制作"))</f>
        <v>企業</v>
      </c>
      <c r="G17" s="53" t="n">
        <f aca="false">制作工程表!G14</f>
        <v>46308</v>
      </c>
      <c r="H17" s="53" t="n">
        <f aca="false">制作工程表!H14</f>
        <v>46314</v>
      </c>
      <c r="I17" s="54" t="n">
        <f aca="false">制作工程表!I14</f>
        <v>46314</v>
      </c>
      <c r="J17" s="49" t="str">
        <f aca="false">制作工程表!K14</f>
        <v>未着手</v>
      </c>
      <c r="K17" s="55" t="str">
        <f aca="false">IF(AND(K$7=$I17,OR(ISNUMBER(SEARCH("採用",$E17)),ISNUMBER(SEARCH("総務",$E17)),ISNUMBER(SEARCH("工場長",$E17)),ISNUMBER(SEARCH("社長",$E17)),ISNUMBER(SEARCH("出演",$E17)))),"◆","")</f>
        <v/>
      </c>
      <c r="L17" s="55" t="str">
        <f aca="false">IF(AND(L$7=$I17,OR(ISNUMBER(SEARCH("採用",$E17)),ISNUMBER(SEARCH("総務",$E17)),ISNUMBER(SEARCH("工場長",$E17)),ISNUMBER(SEARCH("社長",$E17)),ISNUMBER(SEARCH("出演",$E17)))),"◆","")</f>
        <v/>
      </c>
      <c r="M17" s="55" t="str">
        <f aca="false">IF(AND(M$7=$I17,OR(ISNUMBER(SEARCH("採用",$E17)),ISNUMBER(SEARCH("総務",$E17)),ISNUMBER(SEARCH("工場長",$E17)),ISNUMBER(SEARCH("社長",$E17)),ISNUMBER(SEARCH("出演",$E17)))),"◆","")</f>
        <v/>
      </c>
      <c r="N17" s="55" t="str">
        <f aca="false">IF(AND(N$7=$I17,OR(ISNUMBER(SEARCH("採用",$E17)),ISNUMBER(SEARCH("総務",$E17)),ISNUMBER(SEARCH("工場長",$E17)),ISNUMBER(SEARCH("社長",$E17)),ISNUMBER(SEARCH("出演",$E17)))),"◆","")</f>
        <v/>
      </c>
      <c r="O17" s="55" t="str">
        <f aca="false">IF(AND(O$7=$I17,OR(ISNUMBER(SEARCH("採用",$E17)),ISNUMBER(SEARCH("総務",$E17)),ISNUMBER(SEARCH("工場長",$E17)),ISNUMBER(SEARCH("社長",$E17)),ISNUMBER(SEARCH("出演",$E17)))),"◆","")</f>
        <v/>
      </c>
      <c r="P17" s="55" t="str">
        <f aca="false">IF(AND(P$7=$I17,OR(ISNUMBER(SEARCH("採用",$E17)),ISNUMBER(SEARCH("総務",$E17)),ISNUMBER(SEARCH("工場長",$E17)),ISNUMBER(SEARCH("社長",$E17)),ISNUMBER(SEARCH("出演",$E17)))),"◆","")</f>
        <v/>
      </c>
      <c r="Q17" s="55" t="str">
        <f aca="false">IF(AND(Q$7=$I17,OR(ISNUMBER(SEARCH("採用",$E17)),ISNUMBER(SEARCH("総務",$E17)),ISNUMBER(SEARCH("工場長",$E17)),ISNUMBER(SEARCH("社長",$E17)),ISNUMBER(SEARCH("出演",$E17)))),"◆","")</f>
        <v/>
      </c>
      <c r="R17" s="55" t="str">
        <f aca="false">IF(AND(R$7=$I17,OR(ISNUMBER(SEARCH("採用",$E17)),ISNUMBER(SEARCH("総務",$E17)),ISNUMBER(SEARCH("工場長",$E17)),ISNUMBER(SEARCH("社長",$E17)),ISNUMBER(SEARCH("出演",$E17)))),"◆","")</f>
        <v/>
      </c>
      <c r="S17" s="55" t="str">
        <f aca="false">IF(AND(S$7=$I17,OR(ISNUMBER(SEARCH("採用",$E17)),ISNUMBER(SEARCH("総務",$E17)),ISNUMBER(SEARCH("工場長",$E17)),ISNUMBER(SEARCH("社長",$E17)),ISNUMBER(SEARCH("出演",$E17)))),"◆","")</f>
        <v/>
      </c>
      <c r="T17" s="55" t="str">
        <f aca="false">IF(AND(T$7=$I17,OR(ISNUMBER(SEARCH("採用",$E17)),ISNUMBER(SEARCH("総務",$E17)),ISNUMBER(SEARCH("工場長",$E17)),ISNUMBER(SEARCH("社長",$E17)),ISNUMBER(SEARCH("出演",$E17)))),"◆","")</f>
        <v/>
      </c>
      <c r="U17" s="55" t="str">
        <f aca="false">IF(AND(U$7=$I17,OR(ISNUMBER(SEARCH("採用",$E17)),ISNUMBER(SEARCH("総務",$E17)),ISNUMBER(SEARCH("工場長",$E17)),ISNUMBER(SEARCH("社長",$E17)),ISNUMBER(SEARCH("出演",$E17)))),"◆","")</f>
        <v/>
      </c>
      <c r="V17" s="55" t="str">
        <f aca="false">IF(AND(V$7=$I17,OR(ISNUMBER(SEARCH("採用",$E17)),ISNUMBER(SEARCH("総務",$E17)),ISNUMBER(SEARCH("工場長",$E17)),ISNUMBER(SEARCH("社長",$E17)),ISNUMBER(SEARCH("出演",$E17)))),"◆","")</f>
        <v/>
      </c>
      <c r="W17" s="55" t="str">
        <f aca="false">IF(AND(W$7=$I17,OR(ISNUMBER(SEARCH("採用",$E17)),ISNUMBER(SEARCH("総務",$E17)),ISNUMBER(SEARCH("工場長",$E17)),ISNUMBER(SEARCH("社長",$E17)),ISNUMBER(SEARCH("出演",$E17)))),"◆","")</f>
        <v/>
      </c>
      <c r="X17" s="55" t="str">
        <f aca="false">IF(AND(X$7=$I17,OR(ISNUMBER(SEARCH("採用",$E17)),ISNUMBER(SEARCH("総務",$E17)),ISNUMBER(SEARCH("工場長",$E17)),ISNUMBER(SEARCH("社長",$E17)),ISNUMBER(SEARCH("出演",$E17)))),"◆","")</f>
        <v/>
      </c>
      <c r="Y17" s="55" t="str">
        <f aca="false">IF(AND(Y$7=$I17,OR(ISNUMBER(SEARCH("採用",$E17)),ISNUMBER(SEARCH("総務",$E17)),ISNUMBER(SEARCH("工場長",$E17)),ISNUMBER(SEARCH("社長",$E17)),ISNUMBER(SEARCH("出演",$E17)))),"◆","")</f>
        <v>◆</v>
      </c>
      <c r="Z17" s="55" t="str">
        <f aca="false">IF(AND(Z$7=$I17,OR(ISNUMBER(SEARCH("採用",$E17)),ISNUMBER(SEARCH("総務",$E17)),ISNUMBER(SEARCH("工場長",$E17)),ISNUMBER(SEARCH("社長",$E17)),ISNUMBER(SEARCH("出演",$E17)))),"◆","")</f>
        <v/>
      </c>
      <c r="AA17" s="55" t="str">
        <f aca="false">IF(AND(AA$7=$I17,OR(ISNUMBER(SEARCH("採用",$E17)),ISNUMBER(SEARCH("総務",$E17)),ISNUMBER(SEARCH("工場長",$E17)),ISNUMBER(SEARCH("社長",$E17)),ISNUMBER(SEARCH("出演",$E17)))),"◆","")</f>
        <v/>
      </c>
      <c r="AB17" s="55" t="str">
        <f aca="false">IF(AND(AB$7=$I17,OR(ISNUMBER(SEARCH("採用",$E17)),ISNUMBER(SEARCH("総務",$E17)),ISNUMBER(SEARCH("工場長",$E17)),ISNUMBER(SEARCH("社長",$E17)),ISNUMBER(SEARCH("出演",$E17)))),"◆","")</f>
        <v/>
      </c>
      <c r="AC17" s="55" t="str">
        <f aca="false">IF(AND(AC$7=$I17,OR(ISNUMBER(SEARCH("採用",$E17)),ISNUMBER(SEARCH("総務",$E17)),ISNUMBER(SEARCH("工場長",$E17)),ISNUMBER(SEARCH("社長",$E17)),ISNUMBER(SEARCH("出演",$E17)))),"◆","")</f>
        <v/>
      </c>
      <c r="AD17" s="55" t="str">
        <f aca="false">IF(AND(AD$7=$I17,OR(ISNUMBER(SEARCH("採用",$E17)),ISNUMBER(SEARCH("総務",$E17)),ISNUMBER(SEARCH("工場長",$E17)),ISNUMBER(SEARCH("社長",$E17)),ISNUMBER(SEARCH("出演",$E17)))),"◆","")</f>
        <v/>
      </c>
      <c r="AE17" s="55" t="str">
        <f aca="false">IF(AND(AE$7=$I17,OR(ISNUMBER(SEARCH("採用",$E17)),ISNUMBER(SEARCH("総務",$E17)),ISNUMBER(SEARCH("工場長",$E17)),ISNUMBER(SEARCH("社長",$E17)),ISNUMBER(SEARCH("出演",$E17)))),"◆","")</f>
        <v/>
      </c>
      <c r="AF17" s="55" t="str">
        <f aca="false">IF(AND(AF$7=$I17,OR(ISNUMBER(SEARCH("採用",$E17)),ISNUMBER(SEARCH("総務",$E17)),ISNUMBER(SEARCH("工場長",$E17)),ISNUMBER(SEARCH("社長",$E17)),ISNUMBER(SEARCH("出演",$E17)))),"◆","")</f>
        <v/>
      </c>
      <c r="AG17" s="55" t="str">
        <f aca="false">IF(AND(AG$7=$I17,OR(ISNUMBER(SEARCH("採用",$E17)),ISNUMBER(SEARCH("総務",$E17)),ISNUMBER(SEARCH("工場長",$E17)),ISNUMBER(SEARCH("社長",$E17)),ISNUMBER(SEARCH("出演",$E17)))),"◆","")</f>
        <v/>
      </c>
      <c r="AH17" s="55" t="str">
        <f aca="false">IF(AND(AH$7=$I17,OR(ISNUMBER(SEARCH("採用",$E17)),ISNUMBER(SEARCH("総務",$E17)),ISNUMBER(SEARCH("工場長",$E17)),ISNUMBER(SEARCH("社長",$E17)),ISNUMBER(SEARCH("出演",$E17)))),"◆","")</f>
        <v/>
      </c>
      <c r="AI17" s="55" t="str">
        <f aca="false">IF(AND(AI$7=$I17,OR(ISNUMBER(SEARCH("採用",$E17)),ISNUMBER(SEARCH("総務",$E17)),ISNUMBER(SEARCH("工場長",$E17)),ISNUMBER(SEARCH("社長",$E17)),ISNUMBER(SEARCH("出演",$E17)))),"◆","")</f>
        <v/>
      </c>
      <c r="AJ17" s="55" t="str">
        <f aca="false">IF(AND(AJ$7=$I17,OR(ISNUMBER(SEARCH("採用",$E17)),ISNUMBER(SEARCH("総務",$E17)),ISNUMBER(SEARCH("工場長",$E17)),ISNUMBER(SEARCH("社長",$E17)),ISNUMBER(SEARCH("出演",$E17)))),"◆","")</f>
        <v/>
      </c>
      <c r="AK17" s="55" t="str">
        <f aca="false">IF(AND(AK$7=$I17,OR(ISNUMBER(SEARCH("採用",$E17)),ISNUMBER(SEARCH("総務",$E17)),ISNUMBER(SEARCH("工場長",$E17)),ISNUMBER(SEARCH("社長",$E17)),ISNUMBER(SEARCH("出演",$E17)))),"◆","")</f>
        <v/>
      </c>
      <c r="AL17" s="55" t="str">
        <f aca="false">IF(AND(AL$7=$I17,OR(ISNUMBER(SEARCH("採用",$E17)),ISNUMBER(SEARCH("総務",$E17)),ISNUMBER(SEARCH("工場長",$E17)),ISNUMBER(SEARCH("社長",$E17)),ISNUMBER(SEARCH("出演",$E17)))),"◆","")</f>
        <v/>
      </c>
      <c r="AM17" s="55" t="str">
        <f aca="false">IF(AND(AM$7=$I17,OR(ISNUMBER(SEARCH("採用",$E17)),ISNUMBER(SEARCH("総務",$E17)),ISNUMBER(SEARCH("工場長",$E17)),ISNUMBER(SEARCH("社長",$E17)),ISNUMBER(SEARCH("出演",$E17)))),"◆","")</f>
        <v/>
      </c>
      <c r="AN17" s="55" t="str">
        <f aca="false">IF(AND(AN$7=$I17,OR(ISNUMBER(SEARCH("採用",$E17)),ISNUMBER(SEARCH("総務",$E17)),ISNUMBER(SEARCH("工場長",$E17)),ISNUMBER(SEARCH("社長",$E17)),ISNUMBER(SEARCH("出演",$E17)))),"◆","")</f>
        <v/>
      </c>
      <c r="AO17" s="55" t="str">
        <f aca="false">IF(AND(AO$7=$I17,OR(ISNUMBER(SEARCH("採用",$E17)),ISNUMBER(SEARCH("総務",$E17)),ISNUMBER(SEARCH("工場長",$E17)),ISNUMBER(SEARCH("社長",$E17)),ISNUMBER(SEARCH("出演",$E17)))),"◆","")</f>
        <v/>
      </c>
      <c r="AP17" s="55" t="str">
        <f aca="false">IF(AND(AP$7=$I17,OR(ISNUMBER(SEARCH("採用",$E17)),ISNUMBER(SEARCH("総務",$E17)),ISNUMBER(SEARCH("工場長",$E17)),ISNUMBER(SEARCH("社長",$E17)),ISNUMBER(SEARCH("出演",$E17)))),"◆","")</f>
        <v/>
      </c>
      <c r="AQ17" s="55" t="str">
        <f aca="false">IF(AND(AQ$7=$I17,OR(ISNUMBER(SEARCH("採用",$E17)),ISNUMBER(SEARCH("総務",$E17)),ISNUMBER(SEARCH("工場長",$E17)),ISNUMBER(SEARCH("社長",$E17)),ISNUMBER(SEARCH("出演",$E17)))),"◆","")</f>
        <v/>
      </c>
      <c r="AR17" s="55" t="str">
        <f aca="false">IF(AND(AR$7=$I17,OR(ISNUMBER(SEARCH("採用",$E17)),ISNUMBER(SEARCH("総務",$E17)),ISNUMBER(SEARCH("工場長",$E17)),ISNUMBER(SEARCH("社長",$E17)),ISNUMBER(SEARCH("出演",$E17)))),"◆","")</f>
        <v/>
      </c>
      <c r="AS17" s="55" t="str">
        <f aca="false">IF(AND(AS$7=$I17,OR(ISNUMBER(SEARCH("採用",$E17)),ISNUMBER(SEARCH("総務",$E17)),ISNUMBER(SEARCH("工場長",$E17)),ISNUMBER(SEARCH("社長",$E17)),ISNUMBER(SEARCH("出演",$E17)))),"◆","")</f>
        <v/>
      </c>
      <c r="AT17" s="55" t="str">
        <f aca="false">IF(AND(AT$7=$I17,OR(ISNUMBER(SEARCH("採用",$E17)),ISNUMBER(SEARCH("総務",$E17)),ISNUMBER(SEARCH("工場長",$E17)),ISNUMBER(SEARCH("社長",$E17)),ISNUMBER(SEARCH("出演",$E17)))),"◆","")</f>
        <v/>
      </c>
      <c r="AU17" s="55" t="str">
        <f aca="false">IF(AND(AU$7=$I17,OR(ISNUMBER(SEARCH("採用",$E17)),ISNUMBER(SEARCH("総務",$E17)),ISNUMBER(SEARCH("工場長",$E17)),ISNUMBER(SEARCH("社長",$E17)),ISNUMBER(SEARCH("出演",$E17)))),"◆","")</f>
        <v/>
      </c>
      <c r="AV17" s="55" t="str">
        <f aca="false">IF(AND(AV$7=$I17,OR(ISNUMBER(SEARCH("採用",$E17)),ISNUMBER(SEARCH("総務",$E17)),ISNUMBER(SEARCH("工場長",$E17)),ISNUMBER(SEARCH("社長",$E17)),ISNUMBER(SEARCH("出演",$E17)))),"◆","")</f>
        <v/>
      </c>
      <c r="AW17" s="55" t="str">
        <f aca="false">IF(AND(AW$7=$I17,OR(ISNUMBER(SEARCH("採用",$E17)),ISNUMBER(SEARCH("総務",$E17)),ISNUMBER(SEARCH("工場長",$E17)),ISNUMBER(SEARCH("社長",$E17)),ISNUMBER(SEARCH("出演",$E17)))),"◆","")</f>
        <v/>
      </c>
      <c r="AX17" s="55" t="str">
        <f aca="false">IF(AND(AX$7=$I17,OR(ISNUMBER(SEARCH("採用",$E17)),ISNUMBER(SEARCH("総務",$E17)),ISNUMBER(SEARCH("工場長",$E17)),ISNUMBER(SEARCH("社長",$E17)),ISNUMBER(SEARCH("出演",$E17)))),"◆","")</f>
        <v/>
      </c>
      <c r="AY17" s="55" t="str">
        <f aca="false">IF(AND(AY$7=$I17,OR(ISNUMBER(SEARCH("採用",$E17)),ISNUMBER(SEARCH("総務",$E17)),ISNUMBER(SEARCH("工場長",$E17)),ISNUMBER(SEARCH("社長",$E17)),ISNUMBER(SEARCH("出演",$E17)))),"◆","")</f>
        <v/>
      </c>
      <c r="AZ17" s="55" t="str">
        <f aca="false">IF(AND(AZ$7=$I17,OR(ISNUMBER(SEARCH("採用",$E17)),ISNUMBER(SEARCH("総務",$E17)),ISNUMBER(SEARCH("工場長",$E17)),ISNUMBER(SEARCH("社長",$E17)),ISNUMBER(SEARCH("出演",$E17)))),"◆","")</f>
        <v/>
      </c>
      <c r="BA17" s="55" t="str">
        <f aca="false">IF(AND(BA$7=$I17,OR(ISNUMBER(SEARCH("採用",$E17)),ISNUMBER(SEARCH("総務",$E17)),ISNUMBER(SEARCH("工場長",$E17)),ISNUMBER(SEARCH("社長",$E17)),ISNUMBER(SEARCH("出演",$E17)))),"◆","")</f>
        <v/>
      </c>
      <c r="BB17" s="55" t="str">
        <f aca="false">IF(AND(BB$7=$I17,OR(ISNUMBER(SEARCH("採用",$E17)),ISNUMBER(SEARCH("総務",$E17)),ISNUMBER(SEARCH("工場長",$E17)),ISNUMBER(SEARCH("社長",$E17)),ISNUMBER(SEARCH("出演",$E17)))),"◆","")</f>
        <v/>
      </c>
      <c r="BC17" s="55" t="str">
        <f aca="false">IF(AND(BC$7=$I17,OR(ISNUMBER(SEARCH("採用",$E17)),ISNUMBER(SEARCH("総務",$E17)),ISNUMBER(SEARCH("工場長",$E17)),ISNUMBER(SEARCH("社長",$E17)),ISNUMBER(SEARCH("出演",$E17)))),"◆","")</f>
        <v/>
      </c>
      <c r="BD17" s="55" t="str">
        <f aca="false">IF(AND(BD$7=$I17,OR(ISNUMBER(SEARCH("採用",$E17)),ISNUMBER(SEARCH("総務",$E17)),ISNUMBER(SEARCH("工場長",$E17)),ISNUMBER(SEARCH("社長",$E17)),ISNUMBER(SEARCH("出演",$E17)))),"◆","")</f>
        <v/>
      </c>
      <c r="BE17" s="55" t="str">
        <f aca="false">IF(AND(BE$7=$I17,OR(ISNUMBER(SEARCH("採用",$E17)),ISNUMBER(SEARCH("総務",$E17)),ISNUMBER(SEARCH("工場長",$E17)),ISNUMBER(SEARCH("社長",$E17)),ISNUMBER(SEARCH("出演",$E17)))),"◆","")</f>
        <v/>
      </c>
      <c r="BF17" s="55" t="str">
        <f aca="false">IF(AND(BF$7=$I17,OR(ISNUMBER(SEARCH("採用",$E17)),ISNUMBER(SEARCH("総務",$E17)),ISNUMBER(SEARCH("工場長",$E17)),ISNUMBER(SEARCH("社長",$E17)),ISNUMBER(SEARCH("出演",$E17)))),"◆","")</f>
        <v/>
      </c>
      <c r="BG17" s="55" t="str">
        <f aca="false">IF(AND(BG$7=$I17,OR(ISNUMBER(SEARCH("採用",$E17)),ISNUMBER(SEARCH("総務",$E17)),ISNUMBER(SEARCH("工場長",$E17)),ISNUMBER(SEARCH("社長",$E17)),ISNUMBER(SEARCH("出演",$E17)))),"◆","")</f>
        <v/>
      </c>
      <c r="BH17" s="55" t="str">
        <f aca="false">IF(AND(BH$7=$I17,OR(ISNUMBER(SEARCH("採用",$E17)),ISNUMBER(SEARCH("総務",$E17)),ISNUMBER(SEARCH("工場長",$E17)),ISNUMBER(SEARCH("社長",$E17)),ISNUMBER(SEARCH("出演",$E17)))),"◆","")</f>
        <v/>
      </c>
      <c r="BI17" s="55" t="str">
        <f aca="false">IF(AND(BI$7=$I17,OR(ISNUMBER(SEARCH("採用",$E17)),ISNUMBER(SEARCH("総務",$E17)),ISNUMBER(SEARCH("工場長",$E17)),ISNUMBER(SEARCH("社長",$E17)),ISNUMBER(SEARCH("出演",$E17)))),"◆","")</f>
        <v/>
      </c>
      <c r="BJ17" s="55" t="str">
        <f aca="false">IF(AND(BJ$7=$I17,OR(ISNUMBER(SEARCH("採用",$E17)),ISNUMBER(SEARCH("総務",$E17)),ISNUMBER(SEARCH("工場長",$E17)),ISNUMBER(SEARCH("社長",$E17)),ISNUMBER(SEARCH("出演",$E17)))),"◆","")</f>
        <v/>
      </c>
      <c r="BK17" s="55" t="str">
        <f aca="false">IF(AND(BK$7=$I17,OR(ISNUMBER(SEARCH("採用",$E17)),ISNUMBER(SEARCH("総務",$E17)),ISNUMBER(SEARCH("工場長",$E17)),ISNUMBER(SEARCH("社長",$E17)),ISNUMBER(SEARCH("出演",$E17)))),"◆","")</f>
        <v/>
      </c>
      <c r="BL17" s="55" t="str">
        <f aca="false">IF(AND(BL$7=$I17,OR(ISNUMBER(SEARCH("採用",$E17)),ISNUMBER(SEARCH("総務",$E17)),ISNUMBER(SEARCH("工場長",$E17)),ISNUMBER(SEARCH("社長",$E17)),ISNUMBER(SEARCH("出演",$E17)))),"◆","")</f>
        <v/>
      </c>
      <c r="BM17" s="55" t="str">
        <f aca="false">IF(AND(BM$7=$I17,OR(ISNUMBER(SEARCH("採用",$E17)),ISNUMBER(SEARCH("総務",$E17)),ISNUMBER(SEARCH("工場長",$E17)),ISNUMBER(SEARCH("社長",$E17)),ISNUMBER(SEARCH("出演",$E17)))),"◆","")</f>
        <v/>
      </c>
      <c r="BN17" s="55" t="str">
        <f aca="false">IF(AND(BN$7=$I17,OR(ISNUMBER(SEARCH("採用",$E17)),ISNUMBER(SEARCH("総務",$E17)),ISNUMBER(SEARCH("工場長",$E17)),ISNUMBER(SEARCH("社長",$E17)),ISNUMBER(SEARCH("出演",$E17)))),"◆","")</f>
        <v/>
      </c>
      <c r="BO17" s="55" t="str">
        <f aca="false">IF(AND(BO$7=$I17,OR(ISNUMBER(SEARCH("採用",$E17)),ISNUMBER(SEARCH("総務",$E17)),ISNUMBER(SEARCH("工場長",$E17)),ISNUMBER(SEARCH("社長",$E17)),ISNUMBER(SEARCH("出演",$E17)))),"◆","")</f>
        <v/>
      </c>
      <c r="BP17" s="55" t="str">
        <f aca="false">IF(AND(BP$7=$I17,OR(ISNUMBER(SEARCH("採用",$E17)),ISNUMBER(SEARCH("総務",$E17)),ISNUMBER(SEARCH("工場長",$E17)),ISNUMBER(SEARCH("社長",$E17)),ISNUMBER(SEARCH("出演",$E17)))),"◆","")</f>
        <v/>
      </c>
      <c r="BQ17" s="55" t="str">
        <f aca="false">IF(AND(BQ$7=$I17,OR(ISNUMBER(SEARCH("採用",$E17)),ISNUMBER(SEARCH("総務",$E17)),ISNUMBER(SEARCH("工場長",$E17)),ISNUMBER(SEARCH("社長",$E17)),ISNUMBER(SEARCH("出演",$E17)))),"◆","")</f>
        <v/>
      </c>
      <c r="BR17" s="55" t="str">
        <f aca="false">IF(AND(BR$7=$I17,OR(ISNUMBER(SEARCH("採用",$E17)),ISNUMBER(SEARCH("総務",$E17)),ISNUMBER(SEARCH("工場長",$E17)),ISNUMBER(SEARCH("社長",$E17)),ISNUMBER(SEARCH("出演",$E17)))),"◆","")</f>
        <v/>
      </c>
      <c r="BS17" s="55" t="str">
        <f aca="false">IF(AND(BS$7=$I17,OR(ISNUMBER(SEARCH("採用",$E17)),ISNUMBER(SEARCH("総務",$E17)),ISNUMBER(SEARCH("工場長",$E17)),ISNUMBER(SEARCH("社長",$E17)),ISNUMBER(SEARCH("出演",$E17)))),"◆","")</f>
        <v/>
      </c>
      <c r="BT17" s="55" t="str">
        <f aca="false">IF(AND(BT$7=$I17,OR(ISNUMBER(SEARCH("採用",$E17)),ISNUMBER(SEARCH("総務",$E17)),ISNUMBER(SEARCH("工場長",$E17)),ISNUMBER(SEARCH("社長",$E17)),ISNUMBER(SEARCH("出演",$E17)))),"◆","")</f>
        <v/>
      </c>
      <c r="BU17" s="55" t="str">
        <f aca="false">IF(AND(BU$7=$I17,OR(ISNUMBER(SEARCH("採用",$E17)),ISNUMBER(SEARCH("総務",$E17)),ISNUMBER(SEARCH("工場長",$E17)),ISNUMBER(SEARCH("社長",$E17)),ISNUMBER(SEARCH("出演",$E17)))),"◆","")</f>
        <v/>
      </c>
      <c r="BV17" s="55" t="str">
        <f aca="false">IF(AND(BV$7=$I17,OR(ISNUMBER(SEARCH("採用",$E17)),ISNUMBER(SEARCH("総務",$E17)),ISNUMBER(SEARCH("工場長",$E17)),ISNUMBER(SEARCH("社長",$E17)),ISNUMBER(SEARCH("出演",$E17)))),"◆","")</f>
        <v/>
      </c>
      <c r="BW17" s="55" t="str">
        <f aca="false">IF(AND(BW$7=$I17,OR(ISNUMBER(SEARCH("採用",$E17)),ISNUMBER(SEARCH("総務",$E17)),ISNUMBER(SEARCH("工場長",$E17)),ISNUMBER(SEARCH("社長",$E17)),ISNUMBER(SEARCH("出演",$E17)))),"◆","")</f>
        <v/>
      </c>
      <c r="BX17" s="55" t="str">
        <f aca="false">IF(AND(BX$7=$I17,OR(ISNUMBER(SEARCH("採用",$E17)),ISNUMBER(SEARCH("総務",$E17)),ISNUMBER(SEARCH("工場長",$E17)),ISNUMBER(SEARCH("社長",$E17)),ISNUMBER(SEARCH("出演",$E17)))),"◆","")</f>
        <v/>
      </c>
      <c r="BY17" s="55" t="str">
        <f aca="false">IF(AND(BY$7=$I17,OR(ISNUMBER(SEARCH("採用",$E17)),ISNUMBER(SEARCH("総務",$E17)),ISNUMBER(SEARCH("工場長",$E17)),ISNUMBER(SEARCH("社長",$E17)),ISNUMBER(SEARCH("出演",$E17)))),"◆","")</f>
        <v/>
      </c>
      <c r="BZ17" s="55" t="str">
        <f aca="false">IF(AND(BZ$7=$I17,OR(ISNUMBER(SEARCH("採用",$E17)),ISNUMBER(SEARCH("総務",$E17)),ISNUMBER(SEARCH("工場長",$E17)),ISNUMBER(SEARCH("社長",$E17)),ISNUMBER(SEARCH("出演",$E17)))),"◆","")</f>
        <v/>
      </c>
      <c r="CA17" s="55" t="str">
        <f aca="false">IF(AND(CA$7=$I17,OR(ISNUMBER(SEARCH("採用",$E17)),ISNUMBER(SEARCH("総務",$E17)),ISNUMBER(SEARCH("工場長",$E17)),ISNUMBER(SEARCH("社長",$E17)),ISNUMBER(SEARCH("出演",$E17)))),"◆","")</f>
        <v/>
      </c>
      <c r="CB17" s="55" t="str">
        <f aca="false">IF(AND(CB$7=$I17,OR(ISNUMBER(SEARCH("採用",$E17)),ISNUMBER(SEARCH("総務",$E17)),ISNUMBER(SEARCH("工場長",$E17)),ISNUMBER(SEARCH("社長",$E17)),ISNUMBER(SEARCH("出演",$E17)))),"◆","")</f>
        <v/>
      </c>
      <c r="CC17" s="55" t="str">
        <f aca="false">IF(AND(CC$7=$I17,OR(ISNUMBER(SEARCH("採用",$E17)),ISNUMBER(SEARCH("総務",$E17)),ISNUMBER(SEARCH("工場長",$E17)),ISNUMBER(SEARCH("社長",$E17)),ISNUMBER(SEARCH("出演",$E17)))),"◆","")</f>
        <v/>
      </c>
      <c r="CD17" s="55" t="str">
        <f aca="false">IF(AND(CD$7=$I17,OR(ISNUMBER(SEARCH("採用",$E17)),ISNUMBER(SEARCH("総務",$E17)),ISNUMBER(SEARCH("工場長",$E17)),ISNUMBER(SEARCH("社長",$E17)),ISNUMBER(SEARCH("出演",$E17)))),"◆","")</f>
        <v/>
      </c>
      <c r="CE17" s="55" t="str">
        <f aca="false">IF(AND(CE$7=$I17,OR(ISNUMBER(SEARCH("採用",$E17)),ISNUMBER(SEARCH("総務",$E17)),ISNUMBER(SEARCH("工場長",$E17)),ISNUMBER(SEARCH("社長",$E17)),ISNUMBER(SEARCH("出演",$E17)))),"◆","")</f>
        <v/>
      </c>
      <c r="CF17" s="55" t="str">
        <f aca="false">IF(AND(CF$7=$I17,OR(ISNUMBER(SEARCH("採用",$E17)),ISNUMBER(SEARCH("総務",$E17)),ISNUMBER(SEARCH("工場長",$E17)),ISNUMBER(SEARCH("社長",$E17)),ISNUMBER(SEARCH("出演",$E17)))),"◆","")</f>
        <v/>
      </c>
      <c r="CG17" s="55" t="str">
        <f aca="false">IF(AND(CG$7=$I17,OR(ISNUMBER(SEARCH("採用",$E17)),ISNUMBER(SEARCH("総務",$E17)),ISNUMBER(SEARCH("工場長",$E17)),ISNUMBER(SEARCH("社長",$E17)),ISNUMBER(SEARCH("出演",$E17)))),"◆","")</f>
        <v/>
      </c>
      <c r="CH17" s="55" t="str">
        <f aca="false">IF(AND(CH$7=$I17,OR(ISNUMBER(SEARCH("採用",$E17)),ISNUMBER(SEARCH("総務",$E17)),ISNUMBER(SEARCH("工場長",$E17)),ISNUMBER(SEARCH("社長",$E17)),ISNUMBER(SEARCH("出演",$E17)))),"◆","")</f>
        <v/>
      </c>
      <c r="CI17" s="55" t="str">
        <f aca="false">IF(AND(CI$7=$I17,OR(ISNUMBER(SEARCH("採用",$E17)),ISNUMBER(SEARCH("総務",$E17)),ISNUMBER(SEARCH("工場長",$E17)),ISNUMBER(SEARCH("社長",$E17)),ISNUMBER(SEARCH("出演",$E17)))),"◆","")</f>
        <v/>
      </c>
      <c r="CJ17" s="55" t="str">
        <f aca="false">IF(AND(CJ$7=$I17,OR(ISNUMBER(SEARCH("採用",$E17)),ISNUMBER(SEARCH("総務",$E17)),ISNUMBER(SEARCH("工場長",$E17)),ISNUMBER(SEARCH("社長",$E17)),ISNUMBER(SEARCH("出演",$E17)))),"◆","")</f>
        <v/>
      </c>
      <c r="CK17" s="55" t="str">
        <f aca="false">IF(AND(CK$7=$I17,OR(ISNUMBER(SEARCH("採用",$E17)),ISNUMBER(SEARCH("総務",$E17)),ISNUMBER(SEARCH("工場長",$E17)),ISNUMBER(SEARCH("社長",$E17)),ISNUMBER(SEARCH("出演",$E17)))),"◆","")</f>
        <v/>
      </c>
      <c r="CL17" s="55" t="str">
        <f aca="false">IF(AND(CL$7=$I17,OR(ISNUMBER(SEARCH("採用",$E17)),ISNUMBER(SEARCH("総務",$E17)),ISNUMBER(SEARCH("工場長",$E17)),ISNUMBER(SEARCH("社長",$E17)),ISNUMBER(SEARCH("出演",$E17)))),"◆","")</f>
        <v/>
      </c>
      <c r="CM17" s="55" t="str">
        <f aca="false">IF(AND(CM$7=$I17,OR(ISNUMBER(SEARCH("採用",$E17)),ISNUMBER(SEARCH("総務",$E17)),ISNUMBER(SEARCH("工場長",$E17)),ISNUMBER(SEARCH("社長",$E17)),ISNUMBER(SEARCH("出演",$E17)))),"◆","")</f>
        <v/>
      </c>
      <c r="CN17" s="55" t="str">
        <f aca="false">IF(AND(CN$7=$I17,OR(ISNUMBER(SEARCH("採用",$E17)),ISNUMBER(SEARCH("総務",$E17)),ISNUMBER(SEARCH("工場長",$E17)),ISNUMBER(SEARCH("社長",$E17)),ISNUMBER(SEARCH("出演",$E17)))),"◆","")</f>
        <v/>
      </c>
      <c r="CO17" s="55" t="str">
        <f aca="false">IF(AND(CO$7=$I17,OR(ISNUMBER(SEARCH("採用",$E17)),ISNUMBER(SEARCH("総務",$E17)),ISNUMBER(SEARCH("工場長",$E17)),ISNUMBER(SEARCH("社長",$E17)),ISNUMBER(SEARCH("出演",$E17)))),"◆","")</f>
        <v/>
      </c>
      <c r="CP17" s="55" t="str">
        <f aca="false">IF(AND(CP$7=$I17,OR(ISNUMBER(SEARCH("採用",$E17)),ISNUMBER(SEARCH("総務",$E17)),ISNUMBER(SEARCH("工場長",$E17)),ISNUMBER(SEARCH("社長",$E17)),ISNUMBER(SEARCH("出演",$E17)))),"◆","")</f>
        <v/>
      </c>
    </row>
    <row r="18" customFormat="false" ht="25.5" hidden="false" customHeight="true" outlineLevel="0" collapsed="false">
      <c r="A18" s="48" t="str">
        <f aca="false">制作工程表!A15</f>
        <v>T07</v>
      </c>
      <c r="B18" s="49" t="str">
        <f aca="false">制作工程表!B15</f>
        <v>取材準備</v>
      </c>
      <c r="C18" s="50" t="str">
        <f aca="false">制作工程表!C15</f>
        <v>質問案・香盤のご確認</v>
      </c>
      <c r="D18" s="51" t="str">
        <f aca="false">制作工程表!D15</f>
        <v>総務窓口</v>
      </c>
      <c r="E18" s="51" t="str">
        <f aca="false">制作工程表!E15</f>
        <v>出演者</v>
      </c>
      <c r="F18" s="52" t="str">
        <f aca="false">IF(制作工程表!B15="取材撮影","撮影",IF(OR(制作工程表!D15="採用担当",制作工程表!D15="総務窓口",制作工程表!D15="工場長"),"企業","制作"))</f>
        <v>企業</v>
      </c>
      <c r="G18" s="53" t="n">
        <f aca="false">制作工程表!G15</f>
        <v>46315</v>
      </c>
      <c r="H18" s="53" t="n">
        <f aca="false">制作工程表!H15</f>
        <v>46321</v>
      </c>
      <c r="I18" s="54" t="n">
        <f aca="false">制作工程表!I15</f>
        <v>46321</v>
      </c>
      <c r="J18" s="49" t="str">
        <f aca="false">制作工程表!K15</f>
        <v>未着手</v>
      </c>
      <c r="K18" s="55" t="str">
        <f aca="false">IF(AND(K$7=$I18,OR(ISNUMBER(SEARCH("採用",$E18)),ISNUMBER(SEARCH("総務",$E18)),ISNUMBER(SEARCH("工場長",$E18)),ISNUMBER(SEARCH("社長",$E18)),ISNUMBER(SEARCH("出演",$E18)))),"◆","")</f>
        <v/>
      </c>
      <c r="L18" s="55" t="str">
        <f aca="false">IF(AND(L$7=$I18,OR(ISNUMBER(SEARCH("採用",$E18)),ISNUMBER(SEARCH("総務",$E18)),ISNUMBER(SEARCH("工場長",$E18)),ISNUMBER(SEARCH("社長",$E18)),ISNUMBER(SEARCH("出演",$E18)))),"◆","")</f>
        <v/>
      </c>
      <c r="M18" s="55" t="str">
        <f aca="false">IF(AND(M$7=$I18,OR(ISNUMBER(SEARCH("採用",$E18)),ISNUMBER(SEARCH("総務",$E18)),ISNUMBER(SEARCH("工場長",$E18)),ISNUMBER(SEARCH("社長",$E18)),ISNUMBER(SEARCH("出演",$E18)))),"◆","")</f>
        <v/>
      </c>
      <c r="N18" s="55" t="str">
        <f aca="false">IF(AND(N$7=$I18,OR(ISNUMBER(SEARCH("採用",$E18)),ISNUMBER(SEARCH("総務",$E18)),ISNUMBER(SEARCH("工場長",$E18)),ISNUMBER(SEARCH("社長",$E18)),ISNUMBER(SEARCH("出演",$E18)))),"◆","")</f>
        <v/>
      </c>
      <c r="O18" s="55" t="str">
        <f aca="false">IF(AND(O$7=$I18,OR(ISNUMBER(SEARCH("採用",$E18)),ISNUMBER(SEARCH("総務",$E18)),ISNUMBER(SEARCH("工場長",$E18)),ISNUMBER(SEARCH("社長",$E18)),ISNUMBER(SEARCH("出演",$E18)))),"◆","")</f>
        <v/>
      </c>
      <c r="P18" s="55" t="str">
        <f aca="false">IF(AND(P$7=$I18,OR(ISNUMBER(SEARCH("採用",$E18)),ISNUMBER(SEARCH("総務",$E18)),ISNUMBER(SEARCH("工場長",$E18)),ISNUMBER(SEARCH("社長",$E18)),ISNUMBER(SEARCH("出演",$E18)))),"◆","")</f>
        <v/>
      </c>
      <c r="Q18" s="55" t="str">
        <f aca="false">IF(AND(Q$7=$I18,OR(ISNUMBER(SEARCH("採用",$E18)),ISNUMBER(SEARCH("総務",$E18)),ISNUMBER(SEARCH("工場長",$E18)),ISNUMBER(SEARCH("社長",$E18)),ISNUMBER(SEARCH("出演",$E18)))),"◆","")</f>
        <v/>
      </c>
      <c r="R18" s="55" t="str">
        <f aca="false">IF(AND(R$7=$I18,OR(ISNUMBER(SEARCH("採用",$E18)),ISNUMBER(SEARCH("総務",$E18)),ISNUMBER(SEARCH("工場長",$E18)),ISNUMBER(SEARCH("社長",$E18)),ISNUMBER(SEARCH("出演",$E18)))),"◆","")</f>
        <v/>
      </c>
      <c r="S18" s="55" t="str">
        <f aca="false">IF(AND(S$7=$I18,OR(ISNUMBER(SEARCH("採用",$E18)),ISNUMBER(SEARCH("総務",$E18)),ISNUMBER(SEARCH("工場長",$E18)),ISNUMBER(SEARCH("社長",$E18)),ISNUMBER(SEARCH("出演",$E18)))),"◆","")</f>
        <v/>
      </c>
      <c r="T18" s="55" t="str">
        <f aca="false">IF(AND(T$7=$I18,OR(ISNUMBER(SEARCH("採用",$E18)),ISNUMBER(SEARCH("総務",$E18)),ISNUMBER(SEARCH("工場長",$E18)),ISNUMBER(SEARCH("社長",$E18)),ISNUMBER(SEARCH("出演",$E18)))),"◆","")</f>
        <v/>
      </c>
      <c r="U18" s="55" t="str">
        <f aca="false">IF(AND(U$7=$I18,OR(ISNUMBER(SEARCH("採用",$E18)),ISNUMBER(SEARCH("総務",$E18)),ISNUMBER(SEARCH("工場長",$E18)),ISNUMBER(SEARCH("社長",$E18)),ISNUMBER(SEARCH("出演",$E18)))),"◆","")</f>
        <v/>
      </c>
      <c r="V18" s="55" t="str">
        <f aca="false">IF(AND(V$7=$I18,OR(ISNUMBER(SEARCH("採用",$E18)),ISNUMBER(SEARCH("総務",$E18)),ISNUMBER(SEARCH("工場長",$E18)),ISNUMBER(SEARCH("社長",$E18)),ISNUMBER(SEARCH("出演",$E18)))),"◆","")</f>
        <v/>
      </c>
      <c r="W18" s="55" t="str">
        <f aca="false">IF(AND(W$7=$I18,OR(ISNUMBER(SEARCH("採用",$E18)),ISNUMBER(SEARCH("総務",$E18)),ISNUMBER(SEARCH("工場長",$E18)),ISNUMBER(SEARCH("社長",$E18)),ISNUMBER(SEARCH("出演",$E18)))),"◆","")</f>
        <v/>
      </c>
      <c r="X18" s="55" t="str">
        <f aca="false">IF(AND(X$7=$I18,OR(ISNUMBER(SEARCH("採用",$E18)),ISNUMBER(SEARCH("総務",$E18)),ISNUMBER(SEARCH("工場長",$E18)),ISNUMBER(SEARCH("社長",$E18)),ISNUMBER(SEARCH("出演",$E18)))),"◆","")</f>
        <v/>
      </c>
      <c r="Y18" s="55" t="str">
        <f aca="false">IF(AND(Y$7=$I18,OR(ISNUMBER(SEARCH("採用",$E18)),ISNUMBER(SEARCH("総務",$E18)),ISNUMBER(SEARCH("工場長",$E18)),ISNUMBER(SEARCH("社長",$E18)),ISNUMBER(SEARCH("出演",$E18)))),"◆","")</f>
        <v/>
      </c>
      <c r="Z18" s="55" t="str">
        <f aca="false">IF(AND(Z$7=$I18,OR(ISNUMBER(SEARCH("採用",$E18)),ISNUMBER(SEARCH("総務",$E18)),ISNUMBER(SEARCH("工場長",$E18)),ISNUMBER(SEARCH("社長",$E18)),ISNUMBER(SEARCH("出演",$E18)))),"◆","")</f>
        <v/>
      </c>
      <c r="AA18" s="55" t="str">
        <f aca="false">IF(AND(AA$7=$I18,OR(ISNUMBER(SEARCH("採用",$E18)),ISNUMBER(SEARCH("総務",$E18)),ISNUMBER(SEARCH("工場長",$E18)),ISNUMBER(SEARCH("社長",$E18)),ISNUMBER(SEARCH("出演",$E18)))),"◆","")</f>
        <v/>
      </c>
      <c r="AB18" s="55" t="str">
        <f aca="false">IF(AND(AB$7=$I18,OR(ISNUMBER(SEARCH("採用",$E18)),ISNUMBER(SEARCH("総務",$E18)),ISNUMBER(SEARCH("工場長",$E18)),ISNUMBER(SEARCH("社長",$E18)),ISNUMBER(SEARCH("出演",$E18)))),"◆","")</f>
        <v/>
      </c>
      <c r="AC18" s="55" t="str">
        <f aca="false">IF(AND(AC$7=$I18,OR(ISNUMBER(SEARCH("採用",$E18)),ISNUMBER(SEARCH("総務",$E18)),ISNUMBER(SEARCH("工場長",$E18)),ISNUMBER(SEARCH("社長",$E18)),ISNUMBER(SEARCH("出演",$E18)))),"◆","")</f>
        <v/>
      </c>
      <c r="AD18" s="55" t="str">
        <f aca="false">IF(AND(AD$7=$I18,OR(ISNUMBER(SEARCH("採用",$E18)),ISNUMBER(SEARCH("総務",$E18)),ISNUMBER(SEARCH("工場長",$E18)),ISNUMBER(SEARCH("社長",$E18)),ISNUMBER(SEARCH("出演",$E18)))),"◆","")</f>
        <v/>
      </c>
      <c r="AE18" s="55" t="str">
        <f aca="false">IF(AND(AE$7=$I18,OR(ISNUMBER(SEARCH("採用",$E18)),ISNUMBER(SEARCH("総務",$E18)),ISNUMBER(SEARCH("工場長",$E18)),ISNUMBER(SEARCH("社長",$E18)),ISNUMBER(SEARCH("出演",$E18)))),"◆","")</f>
        <v/>
      </c>
      <c r="AF18" s="55" t="str">
        <f aca="false">IF(AND(AF$7=$I18,OR(ISNUMBER(SEARCH("採用",$E18)),ISNUMBER(SEARCH("総務",$E18)),ISNUMBER(SEARCH("工場長",$E18)),ISNUMBER(SEARCH("社長",$E18)),ISNUMBER(SEARCH("出演",$E18)))),"◆","")</f>
        <v>◆</v>
      </c>
      <c r="AG18" s="55" t="str">
        <f aca="false">IF(AND(AG$7=$I18,OR(ISNUMBER(SEARCH("採用",$E18)),ISNUMBER(SEARCH("総務",$E18)),ISNUMBER(SEARCH("工場長",$E18)),ISNUMBER(SEARCH("社長",$E18)),ISNUMBER(SEARCH("出演",$E18)))),"◆","")</f>
        <v/>
      </c>
      <c r="AH18" s="55" t="str">
        <f aca="false">IF(AND(AH$7=$I18,OR(ISNUMBER(SEARCH("採用",$E18)),ISNUMBER(SEARCH("総務",$E18)),ISNUMBER(SEARCH("工場長",$E18)),ISNUMBER(SEARCH("社長",$E18)),ISNUMBER(SEARCH("出演",$E18)))),"◆","")</f>
        <v/>
      </c>
      <c r="AI18" s="55" t="str">
        <f aca="false">IF(AND(AI$7=$I18,OR(ISNUMBER(SEARCH("採用",$E18)),ISNUMBER(SEARCH("総務",$E18)),ISNUMBER(SEARCH("工場長",$E18)),ISNUMBER(SEARCH("社長",$E18)),ISNUMBER(SEARCH("出演",$E18)))),"◆","")</f>
        <v/>
      </c>
      <c r="AJ18" s="55" t="str">
        <f aca="false">IF(AND(AJ$7=$I18,OR(ISNUMBER(SEARCH("採用",$E18)),ISNUMBER(SEARCH("総務",$E18)),ISNUMBER(SEARCH("工場長",$E18)),ISNUMBER(SEARCH("社長",$E18)),ISNUMBER(SEARCH("出演",$E18)))),"◆","")</f>
        <v/>
      </c>
      <c r="AK18" s="55" t="str">
        <f aca="false">IF(AND(AK$7=$I18,OR(ISNUMBER(SEARCH("採用",$E18)),ISNUMBER(SEARCH("総務",$E18)),ISNUMBER(SEARCH("工場長",$E18)),ISNUMBER(SEARCH("社長",$E18)),ISNUMBER(SEARCH("出演",$E18)))),"◆","")</f>
        <v/>
      </c>
      <c r="AL18" s="55" t="str">
        <f aca="false">IF(AND(AL$7=$I18,OR(ISNUMBER(SEARCH("採用",$E18)),ISNUMBER(SEARCH("総務",$E18)),ISNUMBER(SEARCH("工場長",$E18)),ISNUMBER(SEARCH("社長",$E18)),ISNUMBER(SEARCH("出演",$E18)))),"◆","")</f>
        <v/>
      </c>
      <c r="AM18" s="55" t="str">
        <f aca="false">IF(AND(AM$7=$I18,OR(ISNUMBER(SEARCH("採用",$E18)),ISNUMBER(SEARCH("総務",$E18)),ISNUMBER(SEARCH("工場長",$E18)),ISNUMBER(SEARCH("社長",$E18)),ISNUMBER(SEARCH("出演",$E18)))),"◆","")</f>
        <v/>
      </c>
      <c r="AN18" s="55" t="str">
        <f aca="false">IF(AND(AN$7=$I18,OR(ISNUMBER(SEARCH("採用",$E18)),ISNUMBER(SEARCH("総務",$E18)),ISNUMBER(SEARCH("工場長",$E18)),ISNUMBER(SEARCH("社長",$E18)),ISNUMBER(SEARCH("出演",$E18)))),"◆","")</f>
        <v/>
      </c>
      <c r="AO18" s="55" t="str">
        <f aca="false">IF(AND(AO$7=$I18,OR(ISNUMBER(SEARCH("採用",$E18)),ISNUMBER(SEARCH("総務",$E18)),ISNUMBER(SEARCH("工場長",$E18)),ISNUMBER(SEARCH("社長",$E18)),ISNUMBER(SEARCH("出演",$E18)))),"◆","")</f>
        <v/>
      </c>
      <c r="AP18" s="55" t="str">
        <f aca="false">IF(AND(AP$7=$I18,OR(ISNUMBER(SEARCH("採用",$E18)),ISNUMBER(SEARCH("総務",$E18)),ISNUMBER(SEARCH("工場長",$E18)),ISNUMBER(SEARCH("社長",$E18)),ISNUMBER(SEARCH("出演",$E18)))),"◆","")</f>
        <v/>
      </c>
      <c r="AQ18" s="55" t="str">
        <f aca="false">IF(AND(AQ$7=$I18,OR(ISNUMBER(SEARCH("採用",$E18)),ISNUMBER(SEARCH("総務",$E18)),ISNUMBER(SEARCH("工場長",$E18)),ISNUMBER(SEARCH("社長",$E18)),ISNUMBER(SEARCH("出演",$E18)))),"◆","")</f>
        <v/>
      </c>
      <c r="AR18" s="55" t="str">
        <f aca="false">IF(AND(AR$7=$I18,OR(ISNUMBER(SEARCH("採用",$E18)),ISNUMBER(SEARCH("総務",$E18)),ISNUMBER(SEARCH("工場長",$E18)),ISNUMBER(SEARCH("社長",$E18)),ISNUMBER(SEARCH("出演",$E18)))),"◆","")</f>
        <v/>
      </c>
      <c r="AS18" s="55" t="str">
        <f aca="false">IF(AND(AS$7=$I18,OR(ISNUMBER(SEARCH("採用",$E18)),ISNUMBER(SEARCH("総務",$E18)),ISNUMBER(SEARCH("工場長",$E18)),ISNUMBER(SEARCH("社長",$E18)),ISNUMBER(SEARCH("出演",$E18)))),"◆","")</f>
        <v/>
      </c>
      <c r="AT18" s="55" t="str">
        <f aca="false">IF(AND(AT$7=$I18,OR(ISNUMBER(SEARCH("採用",$E18)),ISNUMBER(SEARCH("総務",$E18)),ISNUMBER(SEARCH("工場長",$E18)),ISNUMBER(SEARCH("社長",$E18)),ISNUMBER(SEARCH("出演",$E18)))),"◆","")</f>
        <v/>
      </c>
      <c r="AU18" s="55" t="str">
        <f aca="false">IF(AND(AU$7=$I18,OR(ISNUMBER(SEARCH("採用",$E18)),ISNUMBER(SEARCH("総務",$E18)),ISNUMBER(SEARCH("工場長",$E18)),ISNUMBER(SEARCH("社長",$E18)),ISNUMBER(SEARCH("出演",$E18)))),"◆","")</f>
        <v/>
      </c>
      <c r="AV18" s="55" t="str">
        <f aca="false">IF(AND(AV$7=$I18,OR(ISNUMBER(SEARCH("採用",$E18)),ISNUMBER(SEARCH("総務",$E18)),ISNUMBER(SEARCH("工場長",$E18)),ISNUMBER(SEARCH("社長",$E18)),ISNUMBER(SEARCH("出演",$E18)))),"◆","")</f>
        <v/>
      </c>
      <c r="AW18" s="55" t="str">
        <f aca="false">IF(AND(AW$7=$I18,OR(ISNUMBER(SEARCH("採用",$E18)),ISNUMBER(SEARCH("総務",$E18)),ISNUMBER(SEARCH("工場長",$E18)),ISNUMBER(SEARCH("社長",$E18)),ISNUMBER(SEARCH("出演",$E18)))),"◆","")</f>
        <v/>
      </c>
      <c r="AX18" s="55" t="str">
        <f aca="false">IF(AND(AX$7=$I18,OR(ISNUMBER(SEARCH("採用",$E18)),ISNUMBER(SEARCH("総務",$E18)),ISNUMBER(SEARCH("工場長",$E18)),ISNUMBER(SEARCH("社長",$E18)),ISNUMBER(SEARCH("出演",$E18)))),"◆","")</f>
        <v/>
      </c>
      <c r="AY18" s="55" t="str">
        <f aca="false">IF(AND(AY$7=$I18,OR(ISNUMBER(SEARCH("採用",$E18)),ISNUMBER(SEARCH("総務",$E18)),ISNUMBER(SEARCH("工場長",$E18)),ISNUMBER(SEARCH("社長",$E18)),ISNUMBER(SEARCH("出演",$E18)))),"◆","")</f>
        <v/>
      </c>
      <c r="AZ18" s="55" t="str">
        <f aca="false">IF(AND(AZ$7=$I18,OR(ISNUMBER(SEARCH("採用",$E18)),ISNUMBER(SEARCH("総務",$E18)),ISNUMBER(SEARCH("工場長",$E18)),ISNUMBER(SEARCH("社長",$E18)),ISNUMBER(SEARCH("出演",$E18)))),"◆","")</f>
        <v/>
      </c>
      <c r="BA18" s="55" t="str">
        <f aca="false">IF(AND(BA$7=$I18,OR(ISNUMBER(SEARCH("採用",$E18)),ISNUMBER(SEARCH("総務",$E18)),ISNUMBER(SEARCH("工場長",$E18)),ISNUMBER(SEARCH("社長",$E18)),ISNUMBER(SEARCH("出演",$E18)))),"◆","")</f>
        <v/>
      </c>
      <c r="BB18" s="55" t="str">
        <f aca="false">IF(AND(BB$7=$I18,OR(ISNUMBER(SEARCH("採用",$E18)),ISNUMBER(SEARCH("総務",$E18)),ISNUMBER(SEARCH("工場長",$E18)),ISNUMBER(SEARCH("社長",$E18)),ISNUMBER(SEARCH("出演",$E18)))),"◆","")</f>
        <v/>
      </c>
      <c r="BC18" s="55" t="str">
        <f aca="false">IF(AND(BC$7=$I18,OR(ISNUMBER(SEARCH("採用",$E18)),ISNUMBER(SEARCH("総務",$E18)),ISNUMBER(SEARCH("工場長",$E18)),ISNUMBER(SEARCH("社長",$E18)),ISNUMBER(SEARCH("出演",$E18)))),"◆","")</f>
        <v/>
      </c>
      <c r="BD18" s="55" t="str">
        <f aca="false">IF(AND(BD$7=$I18,OR(ISNUMBER(SEARCH("採用",$E18)),ISNUMBER(SEARCH("総務",$E18)),ISNUMBER(SEARCH("工場長",$E18)),ISNUMBER(SEARCH("社長",$E18)),ISNUMBER(SEARCH("出演",$E18)))),"◆","")</f>
        <v/>
      </c>
      <c r="BE18" s="55" t="str">
        <f aca="false">IF(AND(BE$7=$I18,OR(ISNUMBER(SEARCH("採用",$E18)),ISNUMBER(SEARCH("総務",$E18)),ISNUMBER(SEARCH("工場長",$E18)),ISNUMBER(SEARCH("社長",$E18)),ISNUMBER(SEARCH("出演",$E18)))),"◆","")</f>
        <v/>
      </c>
      <c r="BF18" s="55" t="str">
        <f aca="false">IF(AND(BF$7=$I18,OR(ISNUMBER(SEARCH("採用",$E18)),ISNUMBER(SEARCH("総務",$E18)),ISNUMBER(SEARCH("工場長",$E18)),ISNUMBER(SEARCH("社長",$E18)),ISNUMBER(SEARCH("出演",$E18)))),"◆","")</f>
        <v/>
      </c>
      <c r="BG18" s="55" t="str">
        <f aca="false">IF(AND(BG$7=$I18,OR(ISNUMBER(SEARCH("採用",$E18)),ISNUMBER(SEARCH("総務",$E18)),ISNUMBER(SEARCH("工場長",$E18)),ISNUMBER(SEARCH("社長",$E18)),ISNUMBER(SEARCH("出演",$E18)))),"◆","")</f>
        <v/>
      </c>
      <c r="BH18" s="55" t="str">
        <f aca="false">IF(AND(BH$7=$I18,OR(ISNUMBER(SEARCH("採用",$E18)),ISNUMBER(SEARCH("総務",$E18)),ISNUMBER(SEARCH("工場長",$E18)),ISNUMBER(SEARCH("社長",$E18)),ISNUMBER(SEARCH("出演",$E18)))),"◆","")</f>
        <v/>
      </c>
      <c r="BI18" s="55" t="str">
        <f aca="false">IF(AND(BI$7=$I18,OR(ISNUMBER(SEARCH("採用",$E18)),ISNUMBER(SEARCH("総務",$E18)),ISNUMBER(SEARCH("工場長",$E18)),ISNUMBER(SEARCH("社長",$E18)),ISNUMBER(SEARCH("出演",$E18)))),"◆","")</f>
        <v/>
      </c>
      <c r="BJ18" s="55" t="str">
        <f aca="false">IF(AND(BJ$7=$I18,OR(ISNUMBER(SEARCH("採用",$E18)),ISNUMBER(SEARCH("総務",$E18)),ISNUMBER(SEARCH("工場長",$E18)),ISNUMBER(SEARCH("社長",$E18)),ISNUMBER(SEARCH("出演",$E18)))),"◆","")</f>
        <v/>
      </c>
      <c r="BK18" s="55" t="str">
        <f aca="false">IF(AND(BK$7=$I18,OR(ISNUMBER(SEARCH("採用",$E18)),ISNUMBER(SEARCH("総務",$E18)),ISNUMBER(SEARCH("工場長",$E18)),ISNUMBER(SEARCH("社長",$E18)),ISNUMBER(SEARCH("出演",$E18)))),"◆","")</f>
        <v/>
      </c>
      <c r="BL18" s="55" t="str">
        <f aca="false">IF(AND(BL$7=$I18,OR(ISNUMBER(SEARCH("採用",$E18)),ISNUMBER(SEARCH("総務",$E18)),ISNUMBER(SEARCH("工場長",$E18)),ISNUMBER(SEARCH("社長",$E18)),ISNUMBER(SEARCH("出演",$E18)))),"◆","")</f>
        <v/>
      </c>
      <c r="BM18" s="55" t="str">
        <f aca="false">IF(AND(BM$7=$I18,OR(ISNUMBER(SEARCH("採用",$E18)),ISNUMBER(SEARCH("総務",$E18)),ISNUMBER(SEARCH("工場長",$E18)),ISNUMBER(SEARCH("社長",$E18)),ISNUMBER(SEARCH("出演",$E18)))),"◆","")</f>
        <v/>
      </c>
      <c r="BN18" s="55" t="str">
        <f aca="false">IF(AND(BN$7=$I18,OR(ISNUMBER(SEARCH("採用",$E18)),ISNUMBER(SEARCH("総務",$E18)),ISNUMBER(SEARCH("工場長",$E18)),ISNUMBER(SEARCH("社長",$E18)),ISNUMBER(SEARCH("出演",$E18)))),"◆","")</f>
        <v/>
      </c>
      <c r="BO18" s="55" t="str">
        <f aca="false">IF(AND(BO$7=$I18,OR(ISNUMBER(SEARCH("採用",$E18)),ISNUMBER(SEARCH("総務",$E18)),ISNUMBER(SEARCH("工場長",$E18)),ISNUMBER(SEARCH("社長",$E18)),ISNUMBER(SEARCH("出演",$E18)))),"◆","")</f>
        <v/>
      </c>
      <c r="BP18" s="55" t="str">
        <f aca="false">IF(AND(BP$7=$I18,OR(ISNUMBER(SEARCH("採用",$E18)),ISNUMBER(SEARCH("総務",$E18)),ISNUMBER(SEARCH("工場長",$E18)),ISNUMBER(SEARCH("社長",$E18)),ISNUMBER(SEARCH("出演",$E18)))),"◆","")</f>
        <v/>
      </c>
      <c r="BQ18" s="55" t="str">
        <f aca="false">IF(AND(BQ$7=$I18,OR(ISNUMBER(SEARCH("採用",$E18)),ISNUMBER(SEARCH("総務",$E18)),ISNUMBER(SEARCH("工場長",$E18)),ISNUMBER(SEARCH("社長",$E18)),ISNUMBER(SEARCH("出演",$E18)))),"◆","")</f>
        <v/>
      </c>
      <c r="BR18" s="55" t="str">
        <f aca="false">IF(AND(BR$7=$I18,OR(ISNUMBER(SEARCH("採用",$E18)),ISNUMBER(SEARCH("総務",$E18)),ISNUMBER(SEARCH("工場長",$E18)),ISNUMBER(SEARCH("社長",$E18)),ISNUMBER(SEARCH("出演",$E18)))),"◆","")</f>
        <v/>
      </c>
      <c r="BS18" s="55" t="str">
        <f aca="false">IF(AND(BS$7=$I18,OR(ISNUMBER(SEARCH("採用",$E18)),ISNUMBER(SEARCH("総務",$E18)),ISNUMBER(SEARCH("工場長",$E18)),ISNUMBER(SEARCH("社長",$E18)),ISNUMBER(SEARCH("出演",$E18)))),"◆","")</f>
        <v/>
      </c>
      <c r="BT18" s="55" t="str">
        <f aca="false">IF(AND(BT$7=$I18,OR(ISNUMBER(SEARCH("採用",$E18)),ISNUMBER(SEARCH("総務",$E18)),ISNUMBER(SEARCH("工場長",$E18)),ISNUMBER(SEARCH("社長",$E18)),ISNUMBER(SEARCH("出演",$E18)))),"◆","")</f>
        <v/>
      </c>
      <c r="BU18" s="55" t="str">
        <f aca="false">IF(AND(BU$7=$I18,OR(ISNUMBER(SEARCH("採用",$E18)),ISNUMBER(SEARCH("総務",$E18)),ISNUMBER(SEARCH("工場長",$E18)),ISNUMBER(SEARCH("社長",$E18)),ISNUMBER(SEARCH("出演",$E18)))),"◆","")</f>
        <v/>
      </c>
      <c r="BV18" s="55" t="str">
        <f aca="false">IF(AND(BV$7=$I18,OR(ISNUMBER(SEARCH("採用",$E18)),ISNUMBER(SEARCH("総務",$E18)),ISNUMBER(SEARCH("工場長",$E18)),ISNUMBER(SEARCH("社長",$E18)),ISNUMBER(SEARCH("出演",$E18)))),"◆","")</f>
        <v/>
      </c>
      <c r="BW18" s="55" t="str">
        <f aca="false">IF(AND(BW$7=$I18,OR(ISNUMBER(SEARCH("採用",$E18)),ISNUMBER(SEARCH("総務",$E18)),ISNUMBER(SEARCH("工場長",$E18)),ISNUMBER(SEARCH("社長",$E18)),ISNUMBER(SEARCH("出演",$E18)))),"◆","")</f>
        <v/>
      </c>
      <c r="BX18" s="55" t="str">
        <f aca="false">IF(AND(BX$7=$I18,OR(ISNUMBER(SEARCH("採用",$E18)),ISNUMBER(SEARCH("総務",$E18)),ISNUMBER(SEARCH("工場長",$E18)),ISNUMBER(SEARCH("社長",$E18)),ISNUMBER(SEARCH("出演",$E18)))),"◆","")</f>
        <v/>
      </c>
      <c r="BY18" s="55" t="str">
        <f aca="false">IF(AND(BY$7=$I18,OR(ISNUMBER(SEARCH("採用",$E18)),ISNUMBER(SEARCH("総務",$E18)),ISNUMBER(SEARCH("工場長",$E18)),ISNUMBER(SEARCH("社長",$E18)),ISNUMBER(SEARCH("出演",$E18)))),"◆","")</f>
        <v/>
      </c>
      <c r="BZ18" s="55" t="str">
        <f aca="false">IF(AND(BZ$7=$I18,OR(ISNUMBER(SEARCH("採用",$E18)),ISNUMBER(SEARCH("総務",$E18)),ISNUMBER(SEARCH("工場長",$E18)),ISNUMBER(SEARCH("社長",$E18)),ISNUMBER(SEARCH("出演",$E18)))),"◆","")</f>
        <v/>
      </c>
      <c r="CA18" s="55" t="str">
        <f aca="false">IF(AND(CA$7=$I18,OR(ISNUMBER(SEARCH("採用",$E18)),ISNUMBER(SEARCH("総務",$E18)),ISNUMBER(SEARCH("工場長",$E18)),ISNUMBER(SEARCH("社長",$E18)),ISNUMBER(SEARCH("出演",$E18)))),"◆","")</f>
        <v/>
      </c>
      <c r="CB18" s="55" t="str">
        <f aca="false">IF(AND(CB$7=$I18,OR(ISNUMBER(SEARCH("採用",$E18)),ISNUMBER(SEARCH("総務",$E18)),ISNUMBER(SEARCH("工場長",$E18)),ISNUMBER(SEARCH("社長",$E18)),ISNUMBER(SEARCH("出演",$E18)))),"◆","")</f>
        <v/>
      </c>
      <c r="CC18" s="55" t="str">
        <f aca="false">IF(AND(CC$7=$I18,OR(ISNUMBER(SEARCH("採用",$E18)),ISNUMBER(SEARCH("総務",$E18)),ISNUMBER(SEARCH("工場長",$E18)),ISNUMBER(SEARCH("社長",$E18)),ISNUMBER(SEARCH("出演",$E18)))),"◆","")</f>
        <v/>
      </c>
      <c r="CD18" s="55" t="str">
        <f aca="false">IF(AND(CD$7=$I18,OR(ISNUMBER(SEARCH("採用",$E18)),ISNUMBER(SEARCH("総務",$E18)),ISNUMBER(SEARCH("工場長",$E18)),ISNUMBER(SEARCH("社長",$E18)),ISNUMBER(SEARCH("出演",$E18)))),"◆","")</f>
        <v/>
      </c>
      <c r="CE18" s="55" t="str">
        <f aca="false">IF(AND(CE$7=$I18,OR(ISNUMBER(SEARCH("採用",$E18)),ISNUMBER(SEARCH("総務",$E18)),ISNUMBER(SEARCH("工場長",$E18)),ISNUMBER(SEARCH("社長",$E18)),ISNUMBER(SEARCH("出演",$E18)))),"◆","")</f>
        <v/>
      </c>
      <c r="CF18" s="55" t="str">
        <f aca="false">IF(AND(CF$7=$I18,OR(ISNUMBER(SEARCH("採用",$E18)),ISNUMBER(SEARCH("総務",$E18)),ISNUMBER(SEARCH("工場長",$E18)),ISNUMBER(SEARCH("社長",$E18)),ISNUMBER(SEARCH("出演",$E18)))),"◆","")</f>
        <v/>
      </c>
      <c r="CG18" s="55" t="str">
        <f aca="false">IF(AND(CG$7=$I18,OR(ISNUMBER(SEARCH("採用",$E18)),ISNUMBER(SEARCH("総務",$E18)),ISNUMBER(SEARCH("工場長",$E18)),ISNUMBER(SEARCH("社長",$E18)),ISNUMBER(SEARCH("出演",$E18)))),"◆","")</f>
        <v/>
      </c>
      <c r="CH18" s="55" t="str">
        <f aca="false">IF(AND(CH$7=$I18,OR(ISNUMBER(SEARCH("採用",$E18)),ISNUMBER(SEARCH("総務",$E18)),ISNUMBER(SEARCH("工場長",$E18)),ISNUMBER(SEARCH("社長",$E18)),ISNUMBER(SEARCH("出演",$E18)))),"◆","")</f>
        <v/>
      </c>
      <c r="CI18" s="55" t="str">
        <f aca="false">IF(AND(CI$7=$I18,OR(ISNUMBER(SEARCH("採用",$E18)),ISNUMBER(SEARCH("総務",$E18)),ISNUMBER(SEARCH("工場長",$E18)),ISNUMBER(SEARCH("社長",$E18)),ISNUMBER(SEARCH("出演",$E18)))),"◆","")</f>
        <v/>
      </c>
      <c r="CJ18" s="55" t="str">
        <f aca="false">IF(AND(CJ$7=$I18,OR(ISNUMBER(SEARCH("採用",$E18)),ISNUMBER(SEARCH("総務",$E18)),ISNUMBER(SEARCH("工場長",$E18)),ISNUMBER(SEARCH("社長",$E18)),ISNUMBER(SEARCH("出演",$E18)))),"◆","")</f>
        <v/>
      </c>
      <c r="CK18" s="55" t="str">
        <f aca="false">IF(AND(CK$7=$I18,OR(ISNUMBER(SEARCH("採用",$E18)),ISNUMBER(SEARCH("総務",$E18)),ISNUMBER(SEARCH("工場長",$E18)),ISNUMBER(SEARCH("社長",$E18)),ISNUMBER(SEARCH("出演",$E18)))),"◆","")</f>
        <v/>
      </c>
      <c r="CL18" s="55" t="str">
        <f aca="false">IF(AND(CL$7=$I18,OR(ISNUMBER(SEARCH("採用",$E18)),ISNUMBER(SEARCH("総務",$E18)),ISNUMBER(SEARCH("工場長",$E18)),ISNUMBER(SEARCH("社長",$E18)),ISNUMBER(SEARCH("出演",$E18)))),"◆","")</f>
        <v/>
      </c>
      <c r="CM18" s="55" t="str">
        <f aca="false">IF(AND(CM$7=$I18,OR(ISNUMBER(SEARCH("採用",$E18)),ISNUMBER(SEARCH("総務",$E18)),ISNUMBER(SEARCH("工場長",$E18)),ISNUMBER(SEARCH("社長",$E18)),ISNUMBER(SEARCH("出演",$E18)))),"◆","")</f>
        <v/>
      </c>
      <c r="CN18" s="55" t="str">
        <f aca="false">IF(AND(CN$7=$I18,OR(ISNUMBER(SEARCH("採用",$E18)),ISNUMBER(SEARCH("総務",$E18)),ISNUMBER(SEARCH("工場長",$E18)),ISNUMBER(SEARCH("社長",$E18)),ISNUMBER(SEARCH("出演",$E18)))),"◆","")</f>
        <v/>
      </c>
      <c r="CO18" s="55" t="str">
        <f aca="false">IF(AND(CO$7=$I18,OR(ISNUMBER(SEARCH("採用",$E18)),ISNUMBER(SEARCH("総務",$E18)),ISNUMBER(SEARCH("工場長",$E18)),ISNUMBER(SEARCH("社長",$E18)),ISNUMBER(SEARCH("出演",$E18)))),"◆","")</f>
        <v/>
      </c>
      <c r="CP18" s="55" t="str">
        <f aca="false">IF(AND(CP$7=$I18,OR(ISNUMBER(SEARCH("採用",$E18)),ISNUMBER(SEARCH("総務",$E18)),ISNUMBER(SEARCH("工場長",$E18)),ISNUMBER(SEARCH("社長",$E18)),ISNUMBER(SEARCH("出演",$E18)))),"◆","")</f>
        <v/>
      </c>
    </row>
    <row r="19" customFormat="false" ht="21.75" hidden="false" customHeight="true" outlineLevel="0" collapsed="false">
      <c r="A19" s="43" t="s">
        <v>75</v>
      </c>
      <c r="B19" s="43"/>
      <c r="C19" s="43"/>
      <c r="D19" s="43"/>
      <c r="E19" s="43"/>
      <c r="F19" s="44" t="s">
        <v>73</v>
      </c>
      <c r="G19" s="45" t="n">
        <f aca="false">MIN(制作工程表!G16:G17)</f>
        <v>46322</v>
      </c>
      <c r="H19" s="45" t="n">
        <f aca="false">MAX(制作工程表!H16:H17)</f>
        <v>46323</v>
      </c>
      <c r="I19" s="45" t="str">
        <f aca="false">IF(MAX(制作工程表!I16:I17)=0,"—",MAX(制作工程表!I16:I17))</f>
        <v>—</v>
      </c>
      <c r="J19" s="46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</row>
    <row r="20" customFormat="false" ht="25.5" hidden="false" customHeight="true" outlineLevel="0" collapsed="false">
      <c r="A20" s="48" t="str">
        <f aca="false">制作工程表!A16</f>
        <v>T08</v>
      </c>
      <c r="B20" s="49" t="str">
        <f aca="false">制作工程表!B16</f>
        <v>取材撮影</v>
      </c>
      <c r="C20" s="50" t="str">
        <f aca="false">制作工程表!C16</f>
        <v>本社工場の取材・撮影</v>
      </c>
      <c r="D20" s="51" t="str">
        <f aca="false">制作工程表!D16</f>
        <v>ライター・カメラマン</v>
      </c>
      <c r="E20" s="51" t="str">
        <f aca="false">制作工程表!E16</f>
        <v>総務窓口</v>
      </c>
      <c r="F20" s="52" t="str">
        <f aca="false">IF(制作工程表!B16="取材撮影","撮影",IF(OR(制作工程表!D16="採用担当",制作工程表!D16="総務窓口",制作工程表!D16="工場長"),"企業","制作"))</f>
        <v>撮影</v>
      </c>
      <c r="G20" s="53" t="n">
        <f aca="false">制作工程表!G16</f>
        <v>46322</v>
      </c>
      <c r="H20" s="53" t="n">
        <f aca="false">制作工程表!H16</f>
        <v>46322</v>
      </c>
      <c r="I20" s="54" t="str">
        <f aca="false">制作工程表!I16</f>
        <v>—</v>
      </c>
      <c r="J20" s="49" t="str">
        <f aca="false">制作工程表!K16</f>
        <v>未着手</v>
      </c>
      <c r="K20" s="55" t="str">
        <f aca="false">IF(AND(K$7=$I20,OR(ISNUMBER(SEARCH("採用",$E20)),ISNUMBER(SEARCH("総務",$E20)),ISNUMBER(SEARCH("工場長",$E20)),ISNUMBER(SEARCH("社長",$E20)),ISNUMBER(SEARCH("出演",$E20)))),"◆","")</f>
        <v/>
      </c>
      <c r="L20" s="55" t="str">
        <f aca="false">IF(AND(L$7=$I20,OR(ISNUMBER(SEARCH("採用",$E20)),ISNUMBER(SEARCH("総務",$E20)),ISNUMBER(SEARCH("工場長",$E20)),ISNUMBER(SEARCH("社長",$E20)),ISNUMBER(SEARCH("出演",$E20)))),"◆","")</f>
        <v/>
      </c>
      <c r="M20" s="55" t="str">
        <f aca="false">IF(AND(M$7=$I20,OR(ISNUMBER(SEARCH("採用",$E20)),ISNUMBER(SEARCH("総務",$E20)),ISNUMBER(SEARCH("工場長",$E20)),ISNUMBER(SEARCH("社長",$E20)),ISNUMBER(SEARCH("出演",$E20)))),"◆","")</f>
        <v/>
      </c>
      <c r="N20" s="55" t="str">
        <f aca="false">IF(AND(N$7=$I20,OR(ISNUMBER(SEARCH("採用",$E20)),ISNUMBER(SEARCH("総務",$E20)),ISNUMBER(SEARCH("工場長",$E20)),ISNUMBER(SEARCH("社長",$E20)),ISNUMBER(SEARCH("出演",$E20)))),"◆","")</f>
        <v/>
      </c>
      <c r="O20" s="55" t="str">
        <f aca="false">IF(AND(O$7=$I20,OR(ISNUMBER(SEARCH("採用",$E20)),ISNUMBER(SEARCH("総務",$E20)),ISNUMBER(SEARCH("工場長",$E20)),ISNUMBER(SEARCH("社長",$E20)),ISNUMBER(SEARCH("出演",$E20)))),"◆","")</f>
        <v/>
      </c>
      <c r="P20" s="55" t="str">
        <f aca="false">IF(AND(P$7=$I20,OR(ISNUMBER(SEARCH("採用",$E20)),ISNUMBER(SEARCH("総務",$E20)),ISNUMBER(SEARCH("工場長",$E20)),ISNUMBER(SEARCH("社長",$E20)),ISNUMBER(SEARCH("出演",$E20)))),"◆","")</f>
        <v/>
      </c>
      <c r="Q20" s="55" t="str">
        <f aca="false">IF(AND(Q$7=$I20,OR(ISNUMBER(SEARCH("採用",$E20)),ISNUMBER(SEARCH("総務",$E20)),ISNUMBER(SEARCH("工場長",$E20)),ISNUMBER(SEARCH("社長",$E20)),ISNUMBER(SEARCH("出演",$E20)))),"◆","")</f>
        <v/>
      </c>
      <c r="R20" s="55" t="str">
        <f aca="false">IF(AND(R$7=$I20,OR(ISNUMBER(SEARCH("採用",$E20)),ISNUMBER(SEARCH("総務",$E20)),ISNUMBER(SEARCH("工場長",$E20)),ISNUMBER(SEARCH("社長",$E20)),ISNUMBER(SEARCH("出演",$E20)))),"◆","")</f>
        <v/>
      </c>
      <c r="S20" s="55" t="str">
        <f aca="false">IF(AND(S$7=$I20,OR(ISNUMBER(SEARCH("採用",$E20)),ISNUMBER(SEARCH("総務",$E20)),ISNUMBER(SEARCH("工場長",$E20)),ISNUMBER(SEARCH("社長",$E20)),ISNUMBER(SEARCH("出演",$E20)))),"◆","")</f>
        <v/>
      </c>
      <c r="T20" s="55" t="str">
        <f aca="false">IF(AND(T$7=$I20,OR(ISNUMBER(SEARCH("採用",$E20)),ISNUMBER(SEARCH("総務",$E20)),ISNUMBER(SEARCH("工場長",$E20)),ISNUMBER(SEARCH("社長",$E20)),ISNUMBER(SEARCH("出演",$E20)))),"◆","")</f>
        <v/>
      </c>
      <c r="U20" s="55" t="str">
        <f aca="false">IF(AND(U$7=$I20,OR(ISNUMBER(SEARCH("採用",$E20)),ISNUMBER(SEARCH("総務",$E20)),ISNUMBER(SEARCH("工場長",$E20)),ISNUMBER(SEARCH("社長",$E20)),ISNUMBER(SEARCH("出演",$E20)))),"◆","")</f>
        <v/>
      </c>
      <c r="V20" s="55" t="str">
        <f aca="false">IF(AND(V$7=$I20,OR(ISNUMBER(SEARCH("採用",$E20)),ISNUMBER(SEARCH("総務",$E20)),ISNUMBER(SEARCH("工場長",$E20)),ISNUMBER(SEARCH("社長",$E20)),ISNUMBER(SEARCH("出演",$E20)))),"◆","")</f>
        <v/>
      </c>
      <c r="W20" s="55" t="str">
        <f aca="false">IF(AND(W$7=$I20,OR(ISNUMBER(SEARCH("採用",$E20)),ISNUMBER(SEARCH("総務",$E20)),ISNUMBER(SEARCH("工場長",$E20)),ISNUMBER(SEARCH("社長",$E20)),ISNUMBER(SEARCH("出演",$E20)))),"◆","")</f>
        <v/>
      </c>
      <c r="X20" s="55" t="str">
        <f aca="false">IF(AND(X$7=$I20,OR(ISNUMBER(SEARCH("採用",$E20)),ISNUMBER(SEARCH("総務",$E20)),ISNUMBER(SEARCH("工場長",$E20)),ISNUMBER(SEARCH("社長",$E20)),ISNUMBER(SEARCH("出演",$E20)))),"◆","")</f>
        <v/>
      </c>
      <c r="Y20" s="55" t="str">
        <f aca="false">IF(AND(Y$7=$I20,OR(ISNUMBER(SEARCH("採用",$E20)),ISNUMBER(SEARCH("総務",$E20)),ISNUMBER(SEARCH("工場長",$E20)),ISNUMBER(SEARCH("社長",$E20)),ISNUMBER(SEARCH("出演",$E20)))),"◆","")</f>
        <v/>
      </c>
      <c r="Z20" s="55" t="str">
        <f aca="false">IF(AND(Z$7=$I20,OR(ISNUMBER(SEARCH("採用",$E20)),ISNUMBER(SEARCH("総務",$E20)),ISNUMBER(SEARCH("工場長",$E20)),ISNUMBER(SEARCH("社長",$E20)),ISNUMBER(SEARCH("出演",$E20)))),"◆","")</f>
        <v/>
      </c>
      <c r="AA20" s="55" t="str">
        <f aca="false">IF(AND(AA$7=$I20,OR(ISNUMBER(SEARCH("採用",$E20)),ISNUMBER(SEARCH("総務",$E20)),ISNUMBER(SEARCH("工場長",$E20)),ISNUMBER(SEARCH("社長",$E20)),ISNUMBER(SEARCH("出演",$E20)))),"◆","")</f>
        <v/>
      </c>
      <c r="AB20" s="55" t="str">
        <f aca="false">IF(AND(AB$7=$I20,OR(ISNUMBER(SEARCH("採用",$E20)),ISNUMBER(SEARCH("総務",$E20)),ISNUMBER(SEARCH("工場長",$E20)),ISNUMBER(SEARCH("社長",$E20)),ISNUMBER(SEARCH("出演",$E20)))),"◆","")</f>
        <v/>
      </c>
      <c r="AC20" s="55" t="str">
        <f aca="false">IF(AND(AC$7=$I20,OR(ISNUMBER(SEARCH("採用",$E20)),ISNUMBER(SEARCH("総務",$E20)),ISNUMBER(SEARCH("工場長",$E20)),ISNUMBER(SEARCH("社長",$E20)),ISNUMBER(SEARCH("出演",$E20)))),"◆","")</f>
        <v/>
      </c>
      <c r="AD20" s="55" t="str">
        <f aca="false">IF(AND(AD$7=$I20,OR(ISNUMBER(SEARCH("採用",$E20)),ISNUMBER(SEARCH("総務",$E20)),ISNUMBER(SEARCH("工場長",$E20)),ISNUMBER(SEARCH("社長",$E20)),ISNUMBER(SEARCH("出演",$E20)))),"◆","")</f>
        <v/>
      </c>
      <c r="AE20" s="55" t="str">
        <f aca="false">IF(AND(AE$7=$I20,OR(ISNUMBER(SEARCH("採用",$E20)),ISNUMBER(SEARCH("総務",$E20)),ISNUMBER(SEARCH("工場長",$E20)),ISNUMBER(SEARCH("社長",$E20)),ISNUMBER(SEARCH("出演",$E20)))),"◆","")</f>
        <v/>
      </c>
      <c r="AF20" s="55" t="str">
        <f aca="false">IF(AND(AF$7=$I20,OR(ISNUMBER(SEARCH("採用",$E20)),ISNUMBER(SEARCH("総務",$E20)),ISNUMBER(SEARCH("工場長",$E20)),ISNUMBER(SEARCH("社長",$E20)),ISNUMBER(SEARCH("出演",$E20)))),"◆","")</f>
        <v/>
      </c>
      <c r="AG20" s="55" t="str">
        <f aca="false">IF(AND(AG$7=$I20,OR(ISNUMBER(SEARCH("採用",$E20)),ISNUMBER(SEARCH("総務",$E20)),ISNUMBER(SEARCH("工場長",$E20)),ISNUMBER(SEARCH("社長",$E20)),ISNUMBER(SEARCH("出演",$E20)))),"◆","")</f>
        <v/>
      </c>
      <c r="AH20" s="55" t="str">
        <f aca="false">IF(AND(AH$7=$I20,OR(ISNUMBER(SEARCH("採用",$E20)),ISNUMBER(SEARCH("総務",$E20)),ISNUMBER(SEARCH("工場長",$E20)),ISNUMBER(SEARCH("社長",$E20)),ISNUMBER(SEARCH("出演",$E20)))),"◆","")</f>
        <v/>
      </c>
      <c r="AI20" s="55" t="str">
        <f aca="false">IF(AND(AI$7=$I20,OR(ISNUMBER(SEARCH("採用",$E20)),ISNUMBER(SEARCH("総務",$E20)),ISNUMBER(SEARCH("工場長",$E20)),ISNUMBER(SEARCH("社長",$E20)),ISNUMBER(SEARCH("出演",$E20)))),"◆","")</f>
        <v/>
      </c>
      <c r="AJ20" s="55" t="str">
        <f aca="false">IF(AND(AJ$7=$I20,OR(ISNUMBER(SEARCH("採用",$E20)),ISNUMBER(SEARCH("総務",$E20)),ISNUMBER(SEARCH("工場長",$E20)),ISNUMBER(SEARCH("社長",$E20)),ISNUMBER(SEARCH("出演",$E20)))),"◆","")</f>
        <v/>
      </c>
      <c r="AK20" s="55" t="str">
        <f aca="false">IF(AND(AK$7=$I20,OR(ISNUMBER(SEARCH("採用",$E20)),ISNUMBER(SEARCH("総務",$E20)),ISNUMBER(SEARCH("工場長",$E20)),ISNUMBER(SEARCH("社長",$E20)),ISNUMBER(SEARCH("出演",$E20)))),"◆","")</f>
        <v/>
      </c>
      <c r="AL20" s="55" t="str">
        <f aca="false">IF(AND(AL$7=$I20,OR(ISNUMBER(SEARCH("採用",$E20)),ISNUMBER(SEARCH("総務",$E20)),ISNUMBER(SEARCH("工場長",$E20)),ISNUMBER(SEARCH("社長",$E20)),ISNUMBER(SEARCH("出演",$E20)))),"◆","")</f>
        <v/>
      </c>
      <c r="AM20" s="55" t="str">
        <f aca="false">IF(AND(AM$7=$I20,OR(ISNUMBER(SEARCH("採用",$E20)),ISNUMBER(SEARCH("総務",$E20)),ISNUMBER(SEARCH("工場長",$E20)),ISNUMBER(SEARCH("社長",$E20)),ISNUMBER(SEARCH("出演",$E20)))),"◆","")</f>
        <v/>
      </c>
      <c r="AN20" s="55" t="str">
        <f aca="false">IF(AND(AN$7=$I20,OR(ISNUMBER(SEARCH("採用",$E20)),ISNUMBER(SEARCH("総務",$E20)),ISNUMBER(SEARCH("工場長",$E20)),ISNUMBER(SEARCH("社長",$E20)),ISNUMBER(SEARCH("出演",$E20)))),"◆","")</f>
        <v/>
      </c>
      <c r="AO20" s="55" t="str">
        <f aca="false">IF(AND(AO$7=$I20,OR(ISNUMBER(SEARCH("採用",$E20)),ISNUMBER(SEARCH("総務",$E20)),ISNUMBER(SEARCH("工場長",$E20)),ISNUMBER(SEARCH("社長",$E20)),ISNUMBER(SEARCH("出演",$E20)))),"◆","")</f>
        <v/>
      </c>
      <c r="AP20" s="55" t="str">
        <f aca="false">IF(AND(AP$7=$I20,OR(ISNUMBER(SEARCH("採用",$E20)),ISNUMBER(SEARCH("総務",$E20)),ISNUMBER(SEARCH("工場長",$E20)),ISNUMBER(SEARCH("社長",$E20)),ISNUMBER(SEARCH("出演",$E20)))),"◆","")</f>
        <v/>
      </c>
      <c r="AQ20" s="55" t="str">
        <f aca="false">IF(AND(AQ$7=$I20,OR(ISNUMBER(SEARCH("採用",$E20)),ISNUMBER(SEARCH("総務",$E20)),ISNUMBER(SEARCH("工場長",$E20)),ISNUMBER(SEARCH("社長",$E20)),ISNUMBER(SEARCH("出演",$E20)))),"◆","")</f>
        <v/>
      </c>
      <c r="AR20" s="55" t="str">
        <f aca="false">IF(AND(AR$7=$I20,OR(ISNUMBER(SEARCH("採用",$E20)),ISNUMBER(SEARCH("総務",$E20)),ISNUMBER(SEARCH("工場長",$E20)),ISNUMBER(SEARCH("社長",$E20)),ISNUMBER(SEARCH("出演",$E20)))),"◆","")</f>
        <v/>
      </c>
      <c r="AS20" s="55" t="str">
        <f aca="false">IF(AND(AS$7=$I20,OR(ISNUMBER(SEARCH("採用",$E20)),ISNUMBER(SEARCH("総務",$E20)),ISNUMBER(SEARCH("工場長",$E20)),ISNUMBER(SEARCH("社長",$E20)),ISNUMBER(SEARCH("出演",$E20)))),"◆","")</f>
        <v/>
      </c>
      <c r="AT20" s="55" t="str">
        <f aca="false">IF(AND(AT$7=$I20,OR(ISNUMBER(SEARCH("採用",$E20)),ISNUMBER(SEARCH("総務",$E20)),ISNUMBER(SEARCH("工場長",$E20)),ISNUMBER(SEARCH("社長",$E20)),ISNUMBER(SEARCH("出演",$E20)))),"◆","")</f>
        <v/>
      </c>
      <c r="AU20" s="55" t="str">
        <f aca="false">IF(AND(AU$7=$I20,OR(ISNUMBER(SEARCH("採用",$E20)),ISNUMBER(SEARCH("総務",$E20)),ISNUMBER(SEARCH("工場長",$E20)),ISNUMBER(SEARCH("社長",$E20)),ISNUMBER(SEARCH("出演",$E20)))),"◆","")</f>
        <v/>
      </c>
      <c r="AV20" s="55" t="str">
        <f aca="false">IF(AND(AV$7=$I20,OR(ISNUMBER(SEARCH("採用",$E20)),ISNUMBER(SEARCH("総務",$E20)),ISNUMBER(SEARCH("工場長",$E20)),ISNUMBER(SEARCH("社長",$E20)),ISNUMBER(SEARCH("出演",$E20)))),"◆","")</f>
        <v/>
      </c>
      <c r="AW20" s="55" t="str">
        <f aca="false">IF(AND(AW$7=$I20,OR(ISNUMBER(SEARCH("採用",$E20)),ISNUMBER(SEARCH("総務",$E20)),ISNUMBER(SEARCH("工場長",$E20)),ISNUMBER(SEARCH("社長",$E20)),ISNUMBER(SEARCH("出演",$E20)))),"◆","")</f>
        <v/>
      </c>
      <c r="AX20" s="55" t="str">
        <f aca="false">IF(AND(AX$7=$I20,OR(ISNUMBER(SEARCH("採用",$E20)),ISNUMBER(SEARCH("総務",$E20)),ISNUMBER(SEARCH("工場長",$E20)),ISNUMBER(SEARCH("社長",$E20)),ISNUMBER(SEARCH("出演",$E20)))),"◆","")</f>
        <v/>
      </c>
      <c r="AY20" s="55" t="str">
        <f aca="false">IF(AND(AY$7=$I20,OR(ISNUMBER(SEARCH("採用",$E20)),ISNUMBER(SEARCH("総務",$E20)),ISNUMBER(SEARCH("工場長",$E20)),ISNUMBER(SEARCH("社長",$E20)),ISNUMBER(SEARCH("出演",$E20)))),"◆","")</f>
        <v/>
      </c>
      <c r="AZ20" s="55" t="str">
        <f aca="false">IF(AND(AZ$7=$I20,OR(ISNUMBER(SEARCH("採用",$E20)),ISNUMBER(SEARCH("総務",$E20)),ISNUMBER(SEARCH("工場長",$E20)),ISNUMBER(SEARCH("社長",$E20)),ISNUMBER(SEARCH("出演",$E20)))),"◆","")</f>
        <v/>
      </c>
      <c r="BA20" s="55" t="str">
        <f aca="false">IF(AND(BA$7=$I20,OR(ISNUMBER(SEARCH("採用",$E20)),ISNUMBER(SEARCH("総務",$E20)),ISNUMBER(SEARCH("工場長",$E20)),ISNUMBER(SEARCH("社長",$E20)),ISNUMBER(SEARCH("出演",$E20)))),"◆","")</f>
        <v/>
      </c>
      <c r="BB20" s="55" t="str">
        <f aca="false">IF(AND(BB$7=$I20,OR(ISNUMBER(SEARCH("採用",$E20)),ISNUMBER(SEARCH("総務",$E20)),ISNUMBER(SEARCH("工場長",$E20)),ISNUMBER(SEARCH("社長",$E20)),ISNUMBER(SEARCH("出演",$E20)))),"◆","")</f>
        <v/>
      </c>
      <c r="BC20" s="55" t="str">
        <f aca="false">IF(AND(BC$7=$I20,OR(ISNUMBER(SEARCH("採用",$E20)),ISNUMBER(SEARCH("総務",$E20)),ISNUMBER(SEARCH("工場長",$E20)),ISNUMBER(SEARCH("社長",$E20)),ISNUMBER(SEARCH("出演",$E20)))),"◆","")</f>
        <v/>
      </c>
      <c r="BD20" s="55" t="str">
        <f aca="false">IF(AND(BD$7=$I20,OR(ISNUMBER(SEARCH("採用",$E20)),ISNUMBER(SEARCH("総務",$E20)),ISNUMBER(SEARCH("工場長",$E20)),ISNUMBER(SEARCH("社長",$E20)),ISNUMBER(SEARCH("出演",$E20)))),"◆","")</f>
        <v/>
      </c>
      <c r="BE20" s="55" t="str">
        <f aca="false">IF(AND(BE$7=$I20,OR(ISNUMBER(SEARCH("採用",$E20)),ISNUMBER(SEARCH("総務",$E20)),ISNUMBER(SEARCH("工場長",$E20)),ISNUMBER(SEARCH("社長",$E20)),ISNUMBER(SEARCH("出演",$E20)))),"◆","")</f>
        <v/>
      </c>
      <c r="BF20" s="55" t="str">
        <f aca="false">IF(AND(BF$7=$I20,OR(ISNUMBER(SEARCH("採用",$E20)),ISNUMBER(SEARCH("総務",$E20)),ISNUMBER(SEARCH("工場長",$E20)),ISNUMBER(SEARCH("社長",$E20)),ISNUMBER(SEARCH("出演",$E20)))),"◆","")</f>
        <v/>
      </c>
      <c r="BG20" s="55" t="str">
        <f aca="false">IF(AND(BG$7=$I20,OR(ISNUMBER(SEARCH("採用",$E20)),ISNUMBER(SEARCH("総務",$E20)),ISNUMBER(SEARCH("工場長",$E20)),ISNUMBER(SEARCH("社長",$E20)),ISNUMBER(SEARCH("出演",$E20)))),"◆","")</f>
        <v/>
      </c>
      <c r="BH20" s="55" t="str">
        <f aca="false">IF(AND(BH$7=$I20,OR(ISNUMBER(SEARCH("採用",$E20)),ISNUMBER(SEARCH("総務",$E20)),ISNUMBER(SEARCH("工場長",$E20)),ISNUMBER(SEARCH("社長",$E20)),ISNUMBER(SEARCH("出演",$E20)))),"◆","")</f>
        <v/>
      </c>
      <c r="BI20" s="55" t="str">
        <f aca="false">IF(AND(BI$7=$I20,OR(ISNUMBER(SEARCH("採用",$E20)),ISNUMBER(SEARCH("総務",$E20)),ISNUMBER(SEARCH("工場長",$E20)),ISNUMBER(SEARCH("社長",$E20)),ISNUMBER(SEARCH("出演",$E20)))),"◆","")</f>
        <v/>
      </c>
      <c r="BJ20" s="55" t="str">
        <f aca="false">IF(AND(BJ$7=$I20,OR(ISNUMBER(SEARCH("採用",$E20)),ISNUMBER(SEARCH("総務",$E20)),ISNUMBER(SEARCH("工場長",$E20)),ISNUMBER(SEARCH("社長",$E20)),ISNUMBER(SEARCH("出演",$E20)))),"◆","")</f>
        <v/>
      </c>
      <c r="BK20" s="55" t="str">
        <f aca="false">IF(AND(BK$7=$I20,OR(ISNUMBER(SEARCH("採用",$E20)),ISNUMBER(SEARCH("総務",$E20)),ISNUMBER(SEARCH("工場長",$E20)),ISNUMBER(SEARCH("社長",$E20)),ISNUMBER(SEARCH("出演",$E20)))),"◆","")</f>
        <v/>
      </c>
      <c r="BL20" s="55" t="str">
        <f aca="false">IF(AND(BL$7=$I20,OR(ISNUMBER(SEARCH("採用",$E20)),ISNUMBER(SEARCH("総務",$E20)),ISNUMBER(SEARCH("工場長",$E20)),ISNUMBER(SEARCH("社長",$E20)),ISNUMBER(SEARCH("出演",$E20)))),"◆","")</f>
        <v/>
      </c>
      <c r="BM20" s="55" t="str">
        <f aca="false">IF(AND(BM$7=$I20,OR(ISNUMBER(SEARCH("採用",$E20)),ISNUMBER(SEARCH("総務",$E20)),ISNUMBER(SEARCH("工場長",$E20)),ISNUMBER(SEARCH("社長",$E20)),ISNUMBER(SEARCH("出演",$E20)))),"◆","")</f>
        <v/>
      </c>
      <c r="BN20" s="55" t="str">
        <f aca="false">IF(AND(BN$7=$I20,OR(ISNUMBER(SEARCH("採用",$E20)),ISNUMBER(SEARCH("総務",$E20)),ISNUMBER(SEARCH("工場長",$E20)),ISNUMBER(SEARCH("社長",$E20)),ISNUMBER(SEARCH("出演",$E20)))),"◆","")</f>
        <v/>
      </c>
      <c r="BO20" s="55" t="str">
        <f aca="false">IF(AND(BO$7=$I20,OR(ISNUMBER(SEARCH("採用",$E20)),ISNUMBER(SEARCH("総務",$E20)),ISNUMBER(SEARCH("工場長",$E20)),ISNUMBER(SEARCH("社長",$E20)),ISNUMBER(SEARCH("出演",$E20)))),"◆","")</f>
        <v/>
      </c>
      <c r="BP20" s="55" t="str">
        <f aca="false">IF(AND(BP$7=$I20,OR(ISNUMBER(SEARCH("採用",$E20)),ISNUMBER(SEARCH("総務",$E20)),ISNUMBER(SEARCH("工場長",$E20)),ISNUMBER(SEARCH("社長",$E20)),ISNUMBER(SEARCH("出演",$E20)))),"◆","")</f>
        <v/>
      </c>
      <c r="BQ20" s="55" t="str">
        <f aca="false">IF(AND(BQ$7=$I20,OR(ISNUMBER(SEARCH("採用",$E20)),ISNUMBER(SEARCH("総務",$E20)),ISNUMBER(SEARCH("工場長",$E20)),ISNUMBER(SEARCH("社長",$E20)),ISNUMBER(SEARCH("出演",$E20)))),"◆","")</f>
        <v/>
      </c>
      <c r="BR20" s="55" t="str">
        <f aca="false">IF(AND(BR$7=$I20,OR(ISNUMBER(SEARCH("採用",$E20)),ISNUMBER(SEARCH("総務",$E20)),ISNUMBER(SEARCH("工場長",$E20)),ISNUMBER(SEARCH("社長",$E20)),ISNUMBER(SEARCH("出演",$E20)))),"◆","")</f>
        <v/>
      </c>
      <c r="BS20" s="55" t="str">
        <f aca="false">IF(AND(BS$7=$I20,OR(ISNUMBER(SEARCH("採用",$E20)),ISNUMBER(SEARCH("総務",$E20)),ISNUMBER(SEARCH("工場長",$E20)),ISNUMBER(SEARCH("社長",$E20)),ISNUMBER(SEARCH("出演",$E20)))),"◆","")</f>
        <v/>
      </c>
      <c r="BT20" s="55" t="str">
        <f aca="false">IF(AND(BT$7=$I20,OR(ISNUMBER(SEARCH("採用",$E20)),ISNUMBER(SEARCH("総務",$E20)),ISNUMBER(SEARCH("工場長",$E20)),ISNUMBER(SEARCH("社長",$E20)),ISNUMBER(SEARCH("出演",$E20)))),"◆","")</f>
        <v/>
      </c>
      <c r="BU20" s="55" t="str">
        <f aca="false">IF(AND(BU$7=$I20,OR(ISNUMBER(SEARCH("採用",$E20)),ISNUMBER(SEARCH("総務",$E20)),ISNUMBER(SEARCH("工場長",$E20)),ISNUMBER(SEARCH("社長",$E20)),ISNUMBER(SEARCH("出演",$E20)))),"◆","")</f>
        <v/>
      </c>
      <c r="BV20" s="55" t="str">
        <f aca="false">IF(AND(BV$7=$I20,OR(ISNUMBER(SEARCH("採用",$E20)),ISNUMBER(SEARCH("総務",$E20)),ISNUMBER(SEARCH("工場長",$E20)),ISNUMBER(SEARCH("社長",$E20)),ISNUMBER(SEARCH("出演",$E20)))),"◆","")</f>
        <v/>
      </c>
      <c r="BW20" s="55" t="str">
        <f aca="false">IF(AND(BW$7=$I20,OR(ISNUMBER(SEARCH("採用",$E20)),ISNUMBER(SEARCH("総務",$E20)),ISNUMBER(SEARCH("工場長",$E20)),ISNUMBER(SEARCH("社長",$E20)),ISNUMBER(SEARCH("出演",$E20)))),"◆","")</f>
        <v/>
      </c>
      <c r="BX20" s="55" t="str">
        <f aca="false">IF(AND(BX$7=$I20,OR(ISNUMBER(SEARCH("採用",$E20)),ISNUMBER(SEARCH("総務",$E20)),ISNUMBER(SEARCH("工場長",$E20)),ISNUMBER(SEARCH("社長",$E20)),ISNUMBER(SEARCH("出演",$E20)))),"◆","")</f>
        <v/>
      </c>
      <c r="BY20" s="55" t="str">
        <f aca="false">IF(AND(BY$7=$I20,OR(ISNUMBER(SEARCH("採用",$E20)),ISNUMBER(SEARCH("総務",$E20)),ISNUMBER(SEARCH("工場長",$E20)),ISNUMBER(SEARCH("社長",$E20)),ISNUMBER(SEARCH("出演",$E20)))),"◆","")</f>
        <v/>
      </c>
      <c r="BZ20" s="55" t="str">
        <f aca="false">IF(AND(BZ$7=$I20,OR(ISNUMBER(SEARCH("採用",$E20)),ISNUMBER(SEARCH("総務",$E20)),ISNUMBER(SEARCH("工場長",$E20)),ISNUMBER(SEARCH("社長",$E20)),ISNUMBER(SEARCH("出演",$E20)))),"◆","")</f>
        <v/>
      </c>
      <c r="CA20" s="55" t="str">
        <f aca="false">IF(AND(CA$7=$I20,OR(ISNUMBER(SEARCH("採用",$E20)),ISNUMBER(SEARCH("総務",$E20)),ISNUMBER(SEARCH("工場長",$E20)),ISNUMBER(SEARCH("社長",$E20)),ISNUMBER(SEARCH("出演",$E20)))),"◆","")</f>
        <v/>
      </c>
      <c r="CB20" s="55" t="str">
        <f aca="false">IF(AND(CB$7=$I20,OR(ISNUMBER(SEARCH("採用",$E20)),ISNUMBER(SEARCH("総務",$E20)),ISNUMBER(SEARCH("工場長",$E20)),ISNUMBER(SEARCH("社長",$E20)),ISNUMBER(SEARCH("出演",$E20)))),"◆","")</f>
        <v/>
      </c>
      <c r="CC20" s="55" t="str">
        <f aca="false">IF(AND(CC$7=$I20,OR(ISNUMBER(SEARCH("採用",$E20)),ISNUMBER(SEARCH("総務",$E20)),ISNUMBER(SEARCH("工場長",$E20)),ISNUMBER(SEARCH("社長",$E20)),ISNUMBER(SEARCH("出演",$E20)))),"◆","")</f>
        <v/>
      </c>
      <c r="CD20" s="55" t="str">
        <f aca="false">IF(AND(CD$7=$I20,OR(ISNUMBER(SEARCH("採用",$E20)),ISNUMBER(SEARCH("総務",$E20)),ISNUMBER(SEARCH("工場長",$E20)),ISNUMBER(SEARCH("社長",$E20)),ISNUMBER(SEARCH("出演",$E20)))),"◆","")</f>
        <v/>
      </c>
      <c r="CE20" s="55" t="str">
        <f aca="false">IF(AND(CE$7=$I20,OR(ISNUMBER(SEARCH("採用",$E20)),ISNUMBER(SEARCH("総務",$E20)),ISNUMBER(SEARCH("工場長",$E20)),ISNUMBER(SEARCH("社長",$E20)),ISNUMBER(SEARCH("出演",$E20)))),"◆","")</f>
        <v/>
      </c>
      <c r="CF20" s="55" t="str">
        <f aca="false">IF(AND(CF$7=$I20,OR(ISNUMBER(SEARCH("採用",$E20)),ISNUMBER(SEARCH("総務",$E20)),ISNUMBER(SEARCH("工場長",$E20)),ISNUMBER(SEARCH("社長",$E20)),ISNUMBER(SEARCH("出演",$E20)))),"◆","")</f>
        <v/>
      </c>
      <c r="CG20" s="55" t="str">
        <f aca="false">IF(AND(CG$7=$I20,OR(ISNUMBER(SEARCH("採用",$E20)),ISNUMBER(SEARCH("総務",$E20)),ISNUMBER(SEARCH("工場長",$E20)),ISNUMBER(SEARCH("社長",$E20)),ISNUMBER(SEARCH("出演",$E20)))),"◆","")</f>
        <v/>
      </c>
      <c r="CH20" s="55" t="str">
        <f aca="false">IF(AND(CH$7=$I20,OR(ISNUMBER(SEARCH("採用",$E20)),ISNUMBER(SEARCH("総務",$E20)),ISNUMBER(SEARCH("工場長",$E20)),ISNUMBER(SEARCH("社長",$E20)),ISNUMBER(SEARCH("出演",$E20)))),"◆","")</f>
        <v/>
      </c>
      <c r="CI20" s="55" t="str">
        <f aca="false">IF(AND(CI$7=$I20,OR(ISNUMBER(SEARCH("採用",$E20)),ISNUMBER(SEARCH("総務",$E20)),ISNUMBER(SEARCH("工場長",$E20)),ISNUMBER(SEARCH("社長",$E20)),ISNUMBER(SEARCH("出演",$E20)))),"◆","")</f>
        <v/>
      </c>
      <c r="CJ20" s="55" t="str">
        <f aca="false">IF(AND(CJ$7=$I20,OR(ISNUMBER(SEARCH("採用",$E20)),ISNUMBER(SEARCH("総務",$E20)),ISNUMBER(SEARCH("工場長",$E20)),ISNUMBER(SEARCH("社長",$E20)),ISNUMBER(SEARCH("出演",$E20)))),"◆","")</f>
        <v/>
      </c>
      <c r="CK20" s="55" t="str">
        <f aca="false">IF(AND(CK$7=$I20,OR(ISNUMBER(SEARCH("採用",$E20)),ISNUMBER(SEARCH("総務",$E20)),ISNUMBER(SEARCH("工場長",$E20)),ISNUMBER(SEARCH("社長",$E20)),ISNUMBER(SEARCH("出演",$E20)))),"◆","")</f>
        <v/>
      </c>
      <c r="CL20" s="55" t="str">
        <f aca="false">IF(AND(CL$7=$I20,OR(ISNUMBER(SEARCH("採用",$E20)),ISNUMBER(SEARCH("総務",$E20)),ISNUMBER(SEARCH("工場長",$E20)),ISNUMBER(SEARCH("社長",$E20)),ISNUMBER(SEARCH("出演",$E20)))),"◆","")</f>
        <v/>
      </c>
      <c r="CM20" s="55" t="str">
        <f aca="false">IF(AND(CM$7=$I20,OR(ISNUMBER(SEARCH("採用",$E20)),ISNUMBER(SEARCH("総務",$E20)),ISNUMBER(SEARCH("工場長",$E20)),ISNUMBER(SEARCH("社長",$E20)),ISNUMBER(SEARCH("出演",$E20)))),"◆","")</f>
        <v/>
      </c>
      <c r="CN20" s="55" t="str">
        <f aca="false">IF(AND(CN$7=$I20,OR(ISNUMBER(SEARCH("採用",$E20)),ISNUMBER(SEARCH("総務",$E20)),ISNUMBER(SEARCH("工場長",$E20)),ISNUMBER(SEARCH("社長",$E20)),ISNUMBER(SEARCH("出演",$E20)))),"◆","")</f>
        <v/>
      </c>
      <c r="CO20" s="55" t="str">
        <f aca="false">IF(AND(CO$7=$I20,OR(ISNUMBER(SEARCH("採用",$E20)),ISNUMBER(SEARCH("総務",$E20)),ISNUMBER(SEARCH("工場長",$E20)),ISNUMBER(SEARCH("社長",$E20)),ISNUMBER(SEARCH("出演",$E20)))),"◆","")</f>
        <v/>
      </c>
      <c r="CP20" s="55" t="str">
        <f aca="false">IF(AND(CP$7=$I20,OR(ISNUMBER(SEARCH("採用",$E20)),ISNUMBER(SEARCH("総務",$E20)),ISNUMBER(SEARCH("工場長",$E20)),ISNUMBER(SEARCH("社長",$E20)),ISNUMBER(SEARCH("出演",$E20)))),"◆","")</f>
        <v/>
      </c>
    </row>
    <row r="21" customFormat="false" ht="25.5" hidden="false" customHeight="true" outlineLevel="0" collapsed="false">
      <c r="A21" s="48" t="str">
        <f aca="false">制作工程表!A17</f>
        <v>T09</v>
      </c>
      <c r="B21" s="49" t="str">
        <f aca="false">制作工程表!B17</f>
        <v>取材撮影</v>
      </c>
      <c r="C21" s="50" t="str">
        <f aca="false">制作工程表!C17</f>
        <v>測定室・オフィスの取材・撮影</v>
      </c>
      <c r="D21" s="51" t="str">
        <f aca="false">制作工程表!D17</f>
        <v>ライター・カメラマン</v>
      </c>
      <c r="E21" s="51" t="str">
        <f aca="false">制作工程表!E17</f>
        <v>総務窓口</v>
      </c>
      <c r="F21" s="52" t="str">
        <f aca="false">IF(制作工程表!B17="取材撮影","撮影",IF(OR(制作工程表!D17="採用担当",制作工程表!D17="総務窓口",制作工程表!D17="工場長"),"企業","制作"))</f>
        <v>撮影</v>
      </c>
      <c r="G21" s="53" t="n">
        <f aca="false">制作工程表!G17</f>
        <v>46323</v>
      </c>
      <c r="H21" s="53" t="n">
        <f aca="false">制作工程表!H17</f>
        <v>46323</v>
      </c>
      <c r="I21" s="54" t="str">
        <f aca="false">制作工程表!I17</f>
        <v>—</v>
      </c>
      <c r="J21" s="49" t="str">
        <f aca="false">制作工程表!K17</f>
        <v>未着手</v>
      </c>
      <c r="K21" s="55" t="str">
        <f aca="false">IF(AND(K$7=$I21,OR(ISNUMBER(SEARCH("採用",$E21)),ISNUMBER(SEARCH("総務",$E21)),ISNUMBER(SEARCH("工場長",$E21)),ISNUMBER(SEARCH("社長",$E21)),ISNUMBER(SEARCH("出演",$E21)))),"◆","")</f>
        <v/>
      </c>
      <c r="L21" s="55" t="str">
        <f aca="false">IF(AND(L$7=$I21,OR(ISNUMBER(SEARCH("採用",$E21)),ISNUMBER(SEARCH("総務",$E21)),ISNUMBER(SEARCH("工場長",$E21)),ISNUMBER(SEARCH("社長",$E21)),ISNUMBER(SEARCH("出演",$E21)))),"◆","")</f>
        <v/>
      </c>
      <c r="M21" s="55" t="str">
        <f aca="false">IF(AND(M$7=$I21,OR(ISNUMBER(SEARCH("採用",$E21)),ISNUMBER(SEARCH("総務",$E21)),ISNUMBER(SEARCH("工場長",$E21)),ISNUMBER(SEARCH("社長",$E21)),ISNUMBER(SEARCH("出演",$E21)))),"◆","")</f>
        <v/>
      </c>
      <c r="N21" s="55" t="str">
        <f aca="false">IF(AND(N$7=$I21,OR(ISNUMBER(SEARCH("採用",$E21)),ISNUMBER(SEARCH("総務",$E21)),ISNUMBER(SEARCH("工場長",$E21)),ISNUMBER(SEARCH("社長",$E21)),ISNUMBER(SEARCH("出演",$E21)))),"◆","")</f>
        <v/>
      </c>
      <c r="O21" s="55" t="str">
        <f aca="false">IF(AND(O$7=$I21,OR(ISNUMBER(SEARCH("採用",$E21)),ISNUMBER(SEARCH("総務",$E21)),ISNUMBER(SEARCH("工場長",$E21)),ISNUMBER(SEARCH("社長",$E21)),ISNUMBER(SEARCH("出演",$E21)))),"◆","")</f>
        <v/>
      </c>
      <c r="P21" s="55" t="str">
        <f aca="false">IF(AND(P$7=$I21,OR(ISNUMBER(SEARCH("採用",$E21)),ISNUMBER(SEARCH("総務",$E21)),ISNUMBER(SEARCH("工場長",$E21)),ISNUMBER(SEARCH("社長",$E21)),ISNUMBER(SEARCH("出演",$E21)))),"◆","")</f>
        <v/>
      </c>
      <c r="Q21" s="55" t="str">
        <f aca="false">IF(AND(Q$7=$I21,OR(ISNUMBER(SEARCH("採用",$E21)),ISNUMBER(SEARCH("総務",$E21)),ISNUMBER(SEARCH("工場長",$E21)),ISNUMBER(SEARCH("社長",$E21)),ISNUMBER(SEARCH("出演",$E21)))),"◆","")</f>
        <v/>
      </c>
      <c r="R21" s="55" t="str">
        <f aca="false">IF(AND(R$7=$I21,OR(ISNUMBER(SEARCH("採用",$E21)),ISNUMBER(SEARCH("総務",$E21)),ISNUMBER(SEARCH("工場長",$E21)),ISNUMBER(SEARCH("社長",$E21)),ISNUMBER(SEARCH("出演",$E21)))),"◆","")</f>
        <v/>
      </c>
      <c r="S21" s="55" t="str">
        <f aca="false">IF(AND(S$7=$I21,OR(ISNUMBER(SEARCH("採用",$E21)),ISNUMBER(SEARCH("総務",$E21)),ISNUMBER(SEARCH("工場長",$E21)),ISNUMBER(SEARCH("社長",$E21)),ISNUMBER(SEARCH("出演",$E21)))),"◆","")</f>
        <v/>
      </c>
      <c r="T21" s="55" t="str">
        <f aca="false">IF(AND(T$7=$I21,OR(ISNUMBER(SEARCH("採用",$E21)),ISNUMBER(SEARCH("総務",$E21)),ISNUMBER(SEARCH("工場長",$E21)),ISNUMBER(SEARCH("社長",$E21)),ISNUMBER(SEARCH("出演",$E21)))),"◆","")</f>
        <v/>
      </c>
      <c r="U21" s="55" t="str">
        <f aca="false">IF(AND(U$7=$I21,OR(ISNUMBER(SEARCH("採用",$E21)),ISNUMBER(SEARCH("総務",$E21)),ISNUMBER(SEARCH("工場長",$E21)),ISNUMBER(SEARCH("社長",$E21)),ISNUMBER(SEARCH("出演",$E21)))),"◆","")</f>
        <v/>
      </c>
      <c r="V21" s="55" t="str">
        <f aca="false">IF(AND(V$7=$I21,OR(ISNUMBER(SEARCH("採用",$E21)),ISNUMBER(SEARCH("総務",$E21)),ISNUMBER(SEARCH("工場長",$E21)),ISNUMBER(SEARCH("社長",$E21)),ISNUMBER(SEARCH("出演",$E21)))),"◆","")</f>
        <v/>
      </c>
      <c r="W21" s="55" t="str">
        <f aca="false">IF(AND(W$7=$I21,OR(ISNUMBER(SEARCH("採用",$E21)),ISNUMBER(SEARCH("総務",$E21)),ISNUMBER(SEARCH("工場長",$E21)),ISNUMBER(SEARCH("社長",$E21)),ISNUMBER(SEARCH("出演",$E21)))),"◆","")</f>
        <v/>
      </c>
      <c r="X21" s="55" t="str">
        <f aca="false">IF(AND(X$7=$I21,OR(ISNUMBER(SEARCH("採用",$E21)),ISNUMBER(SEARCH("総務",$E21)),ISNUMBER(SEARCH("工場長",$E21)),ISNUMBER(SEARCH("社長",$E21)),ISNUMBER(SEARCH("出演",$E21)))),"◆","")</f>
        <v/>
      </c>
      <c r="Y21" s="55" t="str">
        <f aca="false">IF(AND(Y$7=$I21,OR(ISNUMBER(SEARCH("採用",$E21)),ISNUMBER(SEARCH("総務",$E21)),ISNUMBER(SEARCH("工場長",$E21)),ISNUMBER(SEARCH("社長",$E21)),ISNUMBER(SEARCH("出演",$E21)))),"◆","")</f>
        <v/>
      </c>
      <c r="Z21" s="55" t="str">
        <f aca="false">IF(AND(Z$7=$I21,OR(ISNUMBER(SEARCH("採用",$E21)),ISNUMBER(SEARCH("総務",$E21)),ISNUMBER(SEARCH("工場長",$E21)),ISNUMBER(SEARCH("社長",$E21)),ISNUMBER(SEARCH("出演",$E21)))),"◆","")</f>
        <v/>
      </c>
      <c r="AA21" s="55" t="str">
        <f aca="false">IF(AND(AA$7=$I21,OR(ISNUMBER(SEARCH("採用",$E21)),ISNUMBER(SEARCH("総務",$E21)),ISNUMBER(SEARCH("工場長",$E21)),ISNUMBER(SEARCH("社長",$E21)),ISNUMBER(SEARCH("出演",$E21)))),"◆","")</f>
        <v/>
      </c>
      <c r="AB21" s="55" t="str">
        <f aca="false">IF(AND(AB$7=$I21,OR(ISNUMBER(SEARCH("採用",$E21)),ISNUMBER(SEARCH("総務",$E21)),ISNUMBER(SEARCH("工場長",$E21)),ISNUMBER(SEARCH("社長",$E21)),ISNUMBER(SEARCH("出演",$E21)))),"◆","")</f>
        <v/>
      </c>
      <c r="AC21" s="55" t="str">
        <f aca="false">IF(AND(AC$7=$I21,OR(ISNUMBER(SEARCH("採用",$E21)),ISNUMBER(SEARCH("総務",$E21)),ISNUMBER(SEARCH("工場長",$E21)),ISNUMBER(SEARCH("社長",$E21)),ISNUMBER(SEARCH("出演",$E21)))),"◆","")</f>
        <v/>
      </c>
      <c r="AD21" s="55" t="str">
        <f aca="false">IF(AND(AD$7=$I21,OR(ISNUMBER(SEARCH("採用",$E21)),ISNUMBER(SEARCH("総務",$E21)),ISNUMBER(SEARCH("工場長",$E21)),ISNUMBER(SEARCH("社長",$E21)),ISNUMBER(SEARCH("出演",$E21)))),"◆","")</f>
        <v/>
      </c>
      <c r="AE21" s="55" t="str">
        <f aca="false">IF(AND(AE$7=$I21,OR(ISNUMBER(SEARCH("採用",$E21)),ISNUMBER(SEARCH("総務",$E21)),ISNUMBER(SEARCH("工場長",$E21)),ISNUMBER(SEARCH("社長",$E21)),ISNUMBER(SEARCH("出演",$E21)))),"◆","")</f>
        <v/>
      </c>
      <c r="AF21" s="55" t="str">
        <f aca="false">IF(AND(AF$7=$I21,OR(ISNUMBER(SEARCH("採用",$E21)),ISNUMBER(SEARCH("総務",$E21)),ISNUMBER(SEARCH("工場長",$E21)),ISNUMBER(SEARCH("社長",$E21)),ISNUMBER(SEARCH("出演",$E21)))),"◆","")</f>
        <v/>
      </c>
      <c r="AG21" s="55" t="str">
        <f aca="false">IF(AND(AG$7=$I21,OR(ISNUMBER(SEARCH("採用",$E21)),ISNUMBER(SEARCH("総務",$E21)),ISNUMBER(SEARCH("工場長",$E21)),ISNUMBER(SEARCH("社長",$E21)),ISNUMBER(SEARCH("出演",$E21)))),"◆","")</f>
        <v/>
      </c>
      <c r="AH21" s="55" t="str">
        <f aca="false">IF(AND(AH$7=$I21,OR(ISNUMBER(SEARCH("採用",$E21)),ISNUMBER(SEARCH("総務",$E21)),ISNUMBER(SEARCH("工場長",$E21)),ISNUMBER(SEARCH("社長",$E21)),ISNUMBER(SEARCH("出演",$E21)))),"◆","")</f>
        <v/>
      </c>
      <c r="AI21" s="55" t="str">
        <f aca="false">IF(AND(AI$7=$I21,OR(ISNUMBER(SEARCH("採用",$E21)),ISNUMBER(SEARCH("総務",$E21)),ISNUMBER(SEARCH("工場長",$E21)),ISNUMBER(SEARCH("社長",$E21)),ISNUMBER(SEARCH("出演",$E21)))),"◆","")</f>
        <v/>
      </c>
      <c r="AJ21" s="55" t="str">
        <f aca="false">IF(AND(AJ$7=$I21,OR(ISNUMBER(SEARCH("採用",$E21)),ISNUMBER(SEARCH("総務",$E21)),ISNUMBER(SEARCH("工場長",$E21)),ISNUMBER(SEARCH("社長",$E21)),ISNUMBER(SEARCH("出演",$E21)))),"◆","")</f>
        <v/>
      </c>
      <c r="AK21" s="55" t="str">
        <f aca="false">IF(AND(AK$7=$I21,OR(ISNUMBER(SEARCH("採用",$E21)),ISNUMBER(SEARCH("総務",$E21)),ISNUMBER(SEARCH("工場長",$E21)),ISNUMBER(SEARCH("社長",$E21)),ISNUMBER(SEARCH("出演",$E21)))),"◆","")</f>
        <v/>
      </c>
      <c r="AL21" s="55" t="str">
        <f aca="false">IF(AND(AL$7=$I21,OR(ISNUMBER(SEARCH("採用",$E21)),ISNUMBER(SEARCH("総務",$E21)),ISNUMBER(SEARCH("工場長",$E21)),ISNUMBER(SEARCH("社長",$E21)),ISNUMBER(SEARCH("出演",$E21)))),"◆","")</f>
        <v/>
      </c>
      <c r="AM21" s="55" t="str">
        <f aca="false">IF(AND(AM$7=$I21,OR(ISNUMBER(SEARCH("採用",$E21)),ISNUMBER(SEARCH("総務",$E21)),ISNUMBER(SEARCH("工場長",$E21)),ISNUMBER(SEARCH("社長",$E21)),ISNUMBER(SEARCH("出演",$E21)))),"◆","")</f>
        <v/>
      </c>
      <c r="AN21" s="55" t="str">
        <f aca="false">IF(AND(AN$7=$I21,OR(ISNUMBER(SEARCH("採用",$E21)),ISNUMBER(SEARCH("総務",$E21)),ISNUMBER(SEARCH("工場長",$E21)),ISNUMBER(SEARCH("社長",$E21)),ISNUMBER(SEARCH("出演",$E21)))),"◆","")</f>
        <v/>
      </c>
      <c r="AO21" s="55" t="str">
        <f aca="false">IF(AND(AO$7=$I21,OR(ISNUMBER(SEARCH("採用",$E21)),ISNUMBER(SEARCH("総務",$E21)),ISNUMBER(SEARCH("工場長",$E21)),ISNUMBER(SEARCH("社長",$E21)),ISNUMBER(SEARCH("出演",$E21)))),"◆","")</f>
        <v/>
      </c>
      <c r="AP21" s="55" t="str">
        <f aca="false">IF(AND(AP$7=$I21,OR(ISNUMBER(SEARCH("採用",$E21)),ISNUMBER(SEARCH("総務",$E21)),ISNUMBER(SEARCH("工場長",$E21)),ISNUMBER(SEARCH("社長",$E21)),ISNUMBER(SEARCH("出演",$E21)))),"◆","")</f>
        <v/>
      </c>
      <c r="AQ21" s="55" t="str">
        <f aca="false">IF(AND(AQ$7=$I21,OR(ISNUMBER(SEARCH("採用",$E21)),ISNUMBER(SEARCH("総務",$E21)),ISNUMBER(SEARCH("工場長",$E21)),ISNUMBER(SEARCH("社長",$E21)),ISNUMBER(SEARCH("出演",$E21)))),"◆","")</f>
        <v/>
      </c>
      <c r="AR21" s="55" t="str">
        <f aca="false">IF(AND(AR$7=$I21,OR(ISNUMBER(SEARCH("採用",$E21)),ISNUMBER(SEARCH("総務",$E21)),ISNUMBER(SEARCH("工場長",$E21)),ISNUMBER(SEARCH("社長",$E21)),ISNUMBER(SEARCH("出演",$E21)))),"◆","")</f>
        <v/>
      </c>
      <c r="AS21" s="55" t="str">
        <f aca="false">IF(AND(AS$7=$I21,OR(ISNUMBER(SEARCH("採用",$E21)),ISNUMBER(SEARCH("総務",$E21)),ISNUMBER(SEARCH("工場長",$E21)),ISNUMBER(SEARCH("社長",$E21)),ISNUMBER(SEARCH("出演",$E21)))),"◆","")</f>
        <v/>
      </c>
      <c r="AT21" s="55" t="str">
        <f aca="false">IF(AND(AT$7=$I21,OR(ISNUMBER(SEARCH("採用",$E21)),ISNUMBER(SEARCH("総務",$E21)),ISNUMBER(SEARCH("工場長",$E21)),ISNUMBER(SEARCH("社長",$E21)),ISNUMBER(SEARCH("出演",$E21)))),"◆","")</f>
        <v/>
      </c>
      <c r="AU21" s="55" t="str">
        <f aca="false">IF(AND(AU$7=$I21,OR(ISNUMBER(SEARCH("採用",$E21)),ISNUMBER(SEARCH("総務",$E21)),ISNUMBER(SEARCH("工場長",$E21)),ISNUMBER(SEARCH("社長",$E21)),ISNUMBER(SEARCH("出演",$E21)))),"◆","")</f>
        <v/>
      </c>
      <c r="AV21" s="55" t="str">
        <f aca="false">IF(AND(AV$7=$I21,OR(ISNUMBER(SEARCH("採用",$E21)),ISNUMBER(SEARCH("総務",$E21)),ISNUMBER(SEARCH("工場長",$E21)),ISNUMBER(SEARCH("社長",$E21)),ISNUMBER(SEARCH("出演",$E21)))),"◆","")</f>
        <v/>
      </c>
      <c r="AW21" s="55" t="str">
        <f aca="false">IF(AND(AW$7=$I21,OR(ISNUMBER(SEARCH("採用",$E21)),ISNUMBER(SEARCH("総務",$E21)),ISNUMBER(SEARCH("工場長",$E21)),ISNUMBER(SEARCH("社長",$E21)),ISNUMBER(SEARCH("出演",$E21)))),"◆","")</f>
        <v/>
      </c>
      <c r="AX21" s="55" t="str">
        <f aca="false">IF(AND(AX$7=$I21,OR(ISNUMBER(SEARCH("採用",$E21)),ISNUMBER(SEARCH("総務",$E21)),ISNUMBER(SEARCH("工場長",$E21)),ISNUMBER(SEARCH("社長",$E21)),ISNUMBER(SEARCH("出演",$E21)))),"◆","")</f>
        <v/>
      </c>
      <c r="AY21" s="55" t="str">
        <f aca="false">IF(AND(AY$7=$I21,OR(ISNUMBER(SEARCH("採用",$E21)),ISNUMBER(SEARCH("総務",$E21)),ISNUMBER(SEARCH("工場長",$E21)),ISNUMBER(SEARCH("社長",$E21)),ISNUMBER(SEARCH("出演",$E21)))),"◆","")</f>
        <v/>
      </c>
      <c r="AZ21" s="55" t="str">
        <f aca="false">IF(AND(AZ$7=$I21,OR(ISNUMBER(SEARCH("採用",$E21)),ISNUMBER(SEARCH("総務",$E21)),ISNUMBER(SEARCH("工場長",$E21)),ISNUMBER(SEARCH("社長",$E21)),ISNUMBER(SEARCH("出演",$E21)))),"◆","")</f>
        <v/>
      </c>
      <c r="BA21" s="55" t="str">
        <f aca="false">IF(AND(BA$7=$I21,OR(ISNUMBER(SEARCH("採用",$E21)),ISNUMBER(SEARCH("総務",$E21)),ISNUMBER(SEARCH("工場長",$E21)),ISNUMBER(SEARCH("社長",$E21)),ISNUMBER(SEARCH("出演",$E21)))),"◆","")</f>
        <v/>
      </c>
      <c r="BB21" s="55" t="str">
        <f aca="false">IF(AND(BB$7=$I21,OR(ISNUMBER(SEARCH("採用",$E21)),ISNUMBER(SEARCH("総務",$E21)),ISNUMBER(SEARCH("工場長",$E21)),ISNUMBER(SEARCH("社長",$E21)),ISNUMBER(SEARCH("出演",$E21)))),"◆","")</f>
        <v/>
      </c>
      <c r="BC21" s="55" t="str">
        <f aca="false">IF(AND(BC$7=$I21,OR(ISNUMBER(SEARCH("採用",$E21)),ISNUMBER(SEARCH("総務",$E21)),ISNUMBER(SEARCH("工場長",$E21)),ISNUMBER(SEARCH("社長",$E21)),ISNUMBER(SEARCH("出演",$E21)))),"◆","")</f>
        <v/>
      </c>
      <c r="BD21" s="55" t="str">
        <f aca="false">IF(AND(BD$7=$I21,OR(ISNUMBER(SEARCH("採用",$E21)),ISNUMBER(SEARCH("総務",$E21)),ISNUMBER(SEARCH("工場長",$E21)),ISNUMBER(SEARCH("社長",$E21)),ISNUMBER(SEARCH("出演",$E21)))),"◆","")</f>
        <v/>
      </c>
      <c r="BE21" s="55" t="str">
        <f aca="false">IF(AND(BE$7=$I21,OR(ISNUMBER(SEARCH("採用",$E21)),ISNUMBER(SEARCH("総務",$E21)),ISNUMBER(SEARCH("工場長",$E21)),ISNUMBER(SEARCH("社長",$E21)),ISNUMBER(SEARCH("出演",$E21)))),"◆","")</f>
        <v/>
      </c>
      <c r="BF21" s="55" t="str">
        <f aca="false">IF(AND(BF$7=$I21,OR(ISNUMBER(SEARCH("採用",$E21)),ISNUMBER(SEARCH("総務",$E21)),ISNUMBER(SEARCH("工場長",$E21)),ISNUMBER(SEARCH("社長",$E21)),ISNUMBER(SEARCH("出演",$E21)))),"◆","")</f>
        <v/>
      </c>
      <c r="BG21" s="55" t="str">
        <f aca="false">IF(AND(BG$7=$I21,OR(ISNUMBER(SEARCH("採用",$E21)),ISNUMBER(SEARCH("総務",$E21)),ISNUMBER(SEARCH("工場長",$E21)),ISNUMBER(SEARCH("社長",$E21)),ISNUMBER(SEARCH("出演",$E21)))),"◆","")</f>
        <v/>
      </c>
      <c r="BH21" s="55" t="str">
        <f aca="false">IF(AND(BH$7=$I21,OR(ISNUMBER(SEARCH("採用",$E21)),ISNUMBER(SEARCH("総務",$E21)),ISNUMBER(SEARCH("工場長",$E21)),ISNUMBER(SEARCH("社長",$E21)),ISNUMBER(SEARCH("出演",$E21)))),"◆","")</f>
        <v/>
      </c>
      <c r="BI21" s="55" t="str">
        <f aca="false">IF(AND(BI$7=$I21,OR(ISNUMBER(SEARCH("採用",$E21)),ISNUMBER(SEARCH("総務",$E21)),ISNUMBER(SEARCH("工場長",$E21)),ISNUMBER(SEARCH("社長",$E21)),ISNUMBER(SEARCH("出演",$E21)))),"◆","")</f>
        <v/>
      </c>
      <c r="BJ21" s="55" t="str">
        <f aca="false">IF(AND(BJ$7=$I21,OR(ISNUMBER(SEARCH("採用",$E21)),ISNUMBER(SEARCH("総務",$E21)),ISNUMBER(SEARCH("工場長",$E21)),ISNUMBER(SEARCH("社長",$E21)),ISNUMBER(SEARCH("出演",$E21)))),"◆","")</f>
        <v/>
      </c>
      <c r="BK21" s="55" t="str">
        <f aca="false">IF(AND(BK$7=$I21,OR(ISNUMBER(SEARCH("採用",$E21)),ISNUMBER(SEARCH("総務",$E21)),ISNUMBER(SEARCH("工場長",$E21)),ISNUMBER(SEARCH("社長",$E21)),ISNUMBER(SEARCH("出演",$E21)))),"◆","")</f>
        <v/>
      </c>
      <c r="BL21" s="55" t="str">
        <f aca="false">IF(AND(BL$7=$I21,OR(ISNUMBER(SEARCH("採用",$E21)),ISNUMBER(SEARCH("総務",$E21)),ISNUMBER(SEARCH("工場長",$E21)),ISNUMBER(SEARCH("社長",$E21)),ISNUMBER(SEARCH("出演",$E21)))),"◆","")</f>
        <v/>
      </c>
      <c r="BM21" s="55" t="str">
        <f aca="false">IF(AND(BM$7=$I21,OR(ISNUMBER(SEARCH("採用",$E21)),ISNUMBER(SEARCH("総務",$E21)),ISNUMBER(SEARCH("工場長",$E21)),ISNUMBER(SEARCH("社長",$E21)),ISNUMBER(SEARCH("出演",$E21)))),"◆","")</f>
        <v/>
      </c>
      <c r="BN21" s="55" t="str">
        <f aca="false">IF(AND(BN$7=$I21,OR(ISNUMBER(SEARCH("採用",$E21)),ISNUMBER(SEARCH("総務",$E21)),ISNUMBER(SEARCH("工場長",$E21)),ISNUMBER(SEARCH("社長",$E21)),ISNUMBER(SEARCH("出演",$E21)))),"◆","")</f>
        <v/>
      </c>
      <c r="BO21" s="55" t="str">
        <f aca="false">IF(AND(BO$7=$I21,OR(ISNUMBER(SEARCH("採用",$E21)),ISNUMBER(SEARCH("総務",$E21)),ISNUMBER(SEARCH("工場長",$E21)),ISNUMBER(SEARCH("社長",$E21)),ISNUMBER(SEARCH("出演",$E21)))),"◆","")</f>
        <v/>
      </c>
      <c r="BP21" s="55" t="str">
        <f aca="false">IF(AND(BP$7=$I21,OR(ISNUMBER(SEARCH("採用",$E21)),ISNUMBER(SEARCH("総務",$E21)),ISNUMBER(SEARCH("工場長",$E21)),ISNUMBER(SEARCH("社長",$E21)),ISNUMBER(SEARCH("出演",$E21)))),"◆","")</f>
        <v/>
      </c>
      <c r="BQ21" s="55" t="str">
        <f aca="false">IF(AND(BQ$7=$I21,OR(ISNUMBER(SEARCH("採用",$E21)),ISNUMBER(SEARCH("総務",$E21)),ISNUMBER(SEARCH("工場長",$E21)),ISNUMBER(SEARCH("社長",$E21)),ISNUMBER(SEARCH("出演",$E21)))),"◆","")</f>
        <v/>
      </c>
      <c r="BR21" s="55" t="str">
        <f aca="false">IF(AND(BR$7=$I21,OR(ISNUMBER(SEARCH("採用",$E21)),ISNUMBER(SEARCH("総務",$E21)),ISNUMBER(SEARCH("工場長",$E21)),ISNUMBER(SEARCH("社長",$E21)),ISNUMBER(SEARCH("出演",$E21)))),"◆","")</f>
        <v/>
      </c>
      <c r="BS21" s="55" t="str">
        <f aca="false">IF(AND(BS$7=$I21,OR(ISNUMBER(SEARCH("採用",$E21)),ISNUMBER(SEARCH("総務",$E21)),ISNUMBER(SEARCH("工場長",$E21)),ISNUMBER(SEARCH("社長",$E21)),ISNUMBER(SEARCH("出演",$E21)))),"◆","")</f>
        <v/>
      </c>
      <c r="BT21" s="55" t="str">
        <f aca="false">IF(AND(BT$7=$I21,OR(ISNUMBER(SEARCH("採用",$E21)),ISNUMBER(SEARCH("総務",$E21)),ISNUMBER(SEARCH("工場長",$E21)),ISNUMBER(SEARCH("社長",$E21)),ISNUMBER(SEARCH("出演",$E21)))),"◆","")</f>
        <v/>
      </c>
      <c r="BU21" s="55" t="str">
        <f aca="false">IF(AND(BU$7=$I21,OR(ISNUMBER(SEARCH("採用",$E21)),ISNUMBER(SEARCH("総務",$E21)),ISNUMBER(SEARCH("工場長",$E21)),ISNUMBER(SEARCH("社長",$E21)),ISNUMBER(SEARCH("出演",$E21)))),"◆","")</f>
        <v/>
      </c>
      <c r="BV21" s="55" t="str">
        <f aca="false">IF(AND(BV$7=$I21,OR(ISNUMBER(SEARCH("採用",$E21)),ISNUMBER(SEARCH("総務",$E21)),ISNUMBER(SEARCH("工場長",$E21)),ISNUMBER(SEARCH("社長",$E21)),ISNUMBER(SEARCH("出演",$E21)))),"◆","")</f>
        <v/>
      </c>
      <c r="BW21" s="55" t="str">
        <f aca="false">IF(AND(BW$7=$I21,OR(ISNUMBER(SEARCH("採用",$E21)),ISNUMBER(SEARCH("総務",$E21)),ISNUMBER(SEARCH("工場長",$E21)),ISNUMBER(SEARCH("社長",$E21)),ISNUMBER(SEARCH("出演",$E21)))),"◆","")</f>
        <v/>
      </c>
      <c r="BX21" s="55" t="str">
        <f aca="false">IF(AND(BX$7=$I21,OR(ISNUMBER(SEARCH("採用",$E21)),ISNUMBER(SEARCH("総務",$E21)),ISNUMBER(SEARCH("工場長",$E21)),ISNUMBER(SEARCH("社長",$E21)),ISNUMBER(SEARCH("出演",$E21)))),"◆","")</f>
        <v/>
      </c>
      <c r="BY21" s="55" t="str">
        <f aca="false">IF(AND(BY$7=$I21,OR(ISNUMBER(SEARCH("採用",$E21)),ISNUMBER(SEARCH("総務",$E21)),ISNUMBER(SEARCH("工場長",$E21)),ISNUMBER(SEARCH("社長",$E21)),ISNUMBER(SEARCH("出演",$E21)))),"◆","")</f>
        <v/>
      </c>
      <c r="BZ21" s="55" t="str">
        <f aca="false">IF(AND(BZ$7=$I21,OR(ISNUMBER(SEARCH("採用",$E21)),ISNUMBER(SEARCH("総務",$E21)),ISNUMBER(SEARCH("工場長",$E21)),ISNUMBER(SEARCH("社長",$E21)),ISNUMBER(SEARCH("出演",$E21)))),"◆","")</f>
        <v/>
      </c>
      <c r="CA21" s="55" t="str">
        <f aca="false">IF(AND(CA$7=$I21,OR(ISNUMBER(SEARCH("採用",$E21)),ISNUMBER(SEARCH("総務",$E21)),ISNUMBER(SEARCH("工場長",$E21)),ISNUMBER(SEARCH("社長",$E21)),ISNUMBER(SEARCH("出演",$E21)))),"◆","")</f>
        <v/>
      </c>
      <c r="CB21" s="55" t="str">
        <f aca="false">IF(AND(CB$7=$I21,OR(ISNUMBER(SEARCH("採用",$E21)),ISNUMBER(SEARCH("総務",$E21)),ISNUMBER(SEARCH("工場長",$E21)),ISNUMBER(SEARCH("社長",$E21)),ISNUMBER(SEARCH("出演",$E21)))),"◆","")</f>
        <v/>
      </c>
      <c r="CC21" s="55" t="str">
        <f aca="false">IF(AND(CC$7=$I21,OR(ISNUMBER(SEARCH("採用",$E21)),ISNUMBER(SEARCH("総務",$E21)),ISNUMBER(SEARCH("工場長",$E21)),ISNUMBER(SEARCH("社長",$E21)),ISNUMBER(SEARCH("出演",$E21)))),"◆","")</f>
        <v/>
      </c>
      <c r="CD21" s="55" t="str">
        <f aca="false">IF(AND(CD$7=$I21,OR(ISNUMBER(SEARCH("採用",$E21)),ISNUMBER(SEARCH("総務",$E21)),ISNUMBER(SEARCH("工場長",$E21)),ISNUMBER(SEARCH("社長",$E21)),ISNUMBER(SEARCH("出演",$E21)))),"◆","")</f>
        <v/>
      </c>
      <c r="CE21" s="55" t="str">
        <f aca="false">IF(AND(CE$7=$I21,OR(ISNUMBER(SEARCH("採用",$E21)),ISNUMBER(SEARCH("総務",$E21)),ISNUMBER(SEARCH("工場長",$E21)),ISNUMBER(SEARCH("社長",$E21)),ISNUMBER(SEARCH("出演",$E21)))),"◆","")</f>
        <v/>
      </c>
      <c r="CF21" s="55" t="str">
        <f aca="false">IF(AND(CF$7=$I21,OR(ISNUMBER(SEARCH("採用",$E21)),ISNUMBER(SEARCH("総務",$E21)),ISNUMBER(SEARCH("工場長",$E21)),ISNUMBER(SEARCH("社長",$E21)),ISNUMBER(SEARCH("出演",$E21)))),"◆","")</f>
        <v/>
      </c>
      <c r="CG21" s="55" t="str">
        <f aca="false">IF(AND(CG$7=$I21,OR(ISNUMBER(SEARCH("採用",$E21)),ISNUMBER(SEARCH("総務",$E21)),ISNUMBER(SEARCH("工場長",$E21)),ISNUMBER(SEARCH("社長",$E21)),ISNUMBER(SEARCH("出演",$E21)))),"◆","")</f>
        <v/>
      </c>
      <c r="CH21" s="55" t="str">
        <f aca="false">IF(AND(CH$7=$I21,OR(ISNUMBER(SEARCH("採用",$E21)),ISNUMBER(SEARCH("総務",$E21)),ISNUMBER(SEARCH("工場長",$E21)),ISNUMBER(SEARCH("社長",$E21)),ISNUMBER(SEARCH("出演",$E21)))),"◆","")</f>
        <v/>
      </c>
      <c r="CI21" s="55" t="str">
        <f aca="false">IF(AND(CI$7=$I21,OR(ISNUMBER(SEARCH("採用",$E21)),ISNUMBER(SEARCH("総務",$E21)),ISNUMBER(SEARCH("工場長",$E21)),ISNUMBER(SEARCH("社長",$E21)),ISNUMBER(SEARCH("出演",$E21)))),"◆","")</f>
        <v/>
      </c>
      <c r="CJ21" s="55" t="str">
        <f aca="false">IF(AND(CJ$7=$I21,OR(ISNUMBER(SEARCH("採用",$E21)),ISNUMBER(SEARCH("総務",$E21)),ISNUMBER(SEARCH("工場長",$E21)),ISNUMBER(SEARCH("社長",$E21)),ISNUMBER(SEARCH("出演",$E21)))),"◆","")</f>
        <v/>
      </c>
      <c r="CK21" s="55" t="str">
        <f aca="false">IF(AND(CK$7=$I21,OR(ISNUMBER(SEARCH("採用",$E21)),ISNUMBER(SEARCH("総務",$E21)),ISNUMBER(SEARCH("工場長",$E21)),ISNUMBER(SEARCH("社長",$E21)),ISNUMBER(SEARCH("出演",$E21)))),"◆","")</f>
        <v/>
      </c>
      <c r="CL21" s="55" t="str">
        <f aca="false">IF(AND(CL$7=$I21,OR(ISNUMBER(SEARCH("採用",$E21)),ISNUMBER(SEARCH("総務",$E21)),ISNUMBER(SEARCH("工場長",$E21)),ISNUMBER(SEARCH("社長",$E21)),ISNUMBER(SEARCH("出演",$E21)))),"◆","")</f>
        <v/>
      </c>
      <c r="CM21" s="55" t="str">
        <f aca="false">IF(AND(CM$7=$I21,OR(ISNUMBER(SEARCH("採用",$E21)),ISNUMBER(SEARCH("総務",$E21)),ISNUMBER(SEARCH("工場長",$E21)),ISNUMBER(SEARCH("社長",$E21)),ISNUMBER(SEARCH("出演",$E21)))),"◆","")</f>
        <v/>
      </c>
      <c r="CN21" s="55" t="str">
        <f aca="false">IF(AND(CN$7=$I21,OR(ISNUMBER(SEARCH("採用",$E21)),ISNUMBER(SEARCH("総務",$E21)),ISNUMBER(SEARCH("工場長",$E21)),ISNUMBER(SEARCH("社長",$E21)),ISNUMBER(SEARCH("出演",$E21)))),"◆","")</f>
        <v/>
      </c>
      <c r="CO21" s="55" t="str">
        <f aca="false">IF(AND(CO$7=$I21,OR(ISNUMBER(SEARCH("採用",$E21)),ISNUMBER(SEARCH("総務",$E21)),ISNUMBER(SEARCH("工場長",$E21)),ISNUMBER(SEARCH("社長",$E21)),ISNUMBER(SEARCH("出演",$E21)))),"◆","")</f>
        <v/>
      </c>
      <c r="CP21" s="55" t="str">
        <f aca="false">IF(AND(CP$7=$I21,OR(ISNUMBER(SEARCH("採用",$E21)),ISNUMBER(SEARCH("総務",$E21)),ISNUMBER(SEARCH("工場長",$E21)),ISNUMBER(SEARCH("社長",$E21)),ISNUMBER(SEARCH("出演",$E21)))),"◆","")</f>
        <v/>
      </c>
    </row>
    <row r="22" customFormat="false" ht="21.75" hidden="false" customHeight="true" outlineLevel="0" collapsed="false">
      <c r="A22" s="43" t="s">
        <v>76</v>
      </c>
      <c r="B22" s="43"/>
      <c r="C22" s="43"/>
      <c r="D22" s="43"/>
      <c r="E22" s="43"/>
      <c r="F22" s="44" t="s">
        <v>73</v>
      </c>
      <c r="G22" s="45" t="n">
        <f aca="false">MIN(制作工程表!G18:G21)</f>
        <v>46324</v>
      </c>
      <c r="H22" s="45" t="n">
        <f aca="false">MAX(制作工程表!H18:H21)</f>
        <v>46342</v>
      </c>
      <c r="I22" s="45" t="n">
        <f aca="false">IF(MAX(制作工程表!I18:I21)=0,"—",MAX(制作工程表!I18:I21))</f>
        <v>46338</v>
      </c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</row>
    <row r="23" customFormat="false" ht="25.5" hidden="false" customHeight="true" outlineLevel="0" collapsed="false">
      <c r="A23" s="48" t="str">
        <f aca="false">制作工程表!A18</f>
        <v>T10</v>
      </c>
      <c r="B23" s="49" t="str">
        <f aca="false">制作工程表!B18</f>
        <v>素材整理</v>
      </c>
      <c r="C23" s="50" t="str">
        <f aca="false">制作工程表!C18</f>
        <v>写真選定・音声整理</v>
      </c>
      <c r="D23" s="51" t="str">
        <f aca="false">制作工程表!D18</f>
        <v>カメラマン・ライター</v>
      </c>
      <c r="E23" s="51" t="str">
        <f aca="false">制作工程表!E18</f>
        <v>—</v>
      </c>
      <c r="F23" s="52" t="str">
        <f aca="false">IF(制作工程表!B18="取材撮影","撮影",IF(OR(制作工程表!D18="採用担当",制作工程表!D18="総務窓口",制作工程表!D18="工場長"),"企業","制作"))</f>
        <v>制作</v>
      </c>
      <c r="G23" s="53" t="n">
        <f aca="false">制作工程表!G18</f>
        <v>46324</v>
      </c>
      <c r="H23" s="53" t="n">
        <f aca="false">制作工程表!H18</f>
        <v>46328</v>
      </c>
      <c r="I23" s="54" t="str">
        <f aca="false">制作工程表!I18</f>
        <v>—</v>
      </c>
      <c r="J23" s="49" t="str">
        <f aca="false">制作工程表!K18</f>
        <v>未着手</v>
      </c>
      <c r="K23" s="55" t="str">
        <f aca="false">IF(AND(K$7=$I23,OR(ISNUMBER(SEARCH("採用",$E23)),ISNUMBER(SEARCH("総務",$E23)),ISNUMBER(SEARCH("工場長",$E23)),ISNUMBER(SEARCH("社長",$E23)),ISNUMBER(SEARCH("出演",$E23)))),"◆","")</f>
        <v/>
      </c>
      <c r="L23" s="55" t="str">
        <f aca="false">IF(AND(L$7=$I23,OR(ISNUMBER(SEARCH("採用",$E23)),ISNUMBER(SEARCH("総務",$E23)),ISNUMBER(SEARCH("工場長",$E23)),ISNUMBER(SEARCH("社長",$E23)),ISNUMBER(SEARCH("出演",$E23)))),"◆","")</f>
        <v/>
      </c>
      <c r="M23" s="55" t="str">
        <f aca="false">IF(AND(M$7=$I23,OR(ISNUMBER(SEARCH("採用",$E23)),ISNUMBER(SEARCH("総務",$E23)),ISNUMBER(SEARCH("工場長",$E23)),ISNUMBER(SEARCH("社長",$E23)),ISNUMBER(SEARCH("出演",$E23)))),"◆","")</f>
        <v/>
      </c>
      <c r="N23" s="55" t="str">
        <f aca="false">IF(AND(N$7=$I23,OR(ISNUMBER(SEARCH("採用",$E23)),ISNUMBER(SEARCH("総務",$E23)),ISNUMBER(SEARCH("工場長",$E23)),ISNUMBER(SEARCH("社長",$E23)),ISNUMBER(SEARCH("出演",$E23)))),"◆","")</f>
        <v/>
      </c>
      <c r="O23" s="55" t="str">
        <f aca="false">IF(AND(O$7=$I23,OR(ISNUMBER(SEARCH("採用",$E23)),ISNUMBER(SEARCH("総務",$E23)),ISNUMBER(SEARCH("工場長",$E23)),ISNUMBER(SEARCH("社長",$E23)),ISNUMBER(SEARCH("出演",$E23)))),"◆","")</f>
        <v/>
      </c>
      <c r="P23" s="55" t="str">
        <f aca="false">IF(AND(P$7=$I23,OR(ISNUMBER(SEARCH("採用",$E23)),ISNUMBER(SEARCH("総務",$E23)),ISNUMBER(SEARCH("工場長",$E23)),ISNUMBER(SEARCH("社長",$E23)),ISNUMBER(SEARCH("出演",$E23)))),"◆","")</f>
        <v/>
      </c>
      <c r="Q23" s="55" t="str">
        <f aca="false">IF(AND(Q$7=$I23,OR(ISNUMBER(SEARCH("採用",$E23)),ISNUMBER(SEARCH("総務",$E23)),ISNUMBER(SEARCH("工場長",$E23)),ISNUMBER(SEARCH("社長",$E23)),ISNUMBER(SEARCH("出演",$E23)))),"◆","")</f>
        <v/>
      </c>
      <c r="R23" s="55" t="str">
        <f aca="false">IF(AND(R$7=$I23,OR(ISNUMBER(SEARCH("採用",$E23)),ISNUMBER(SEARCH("総務",$E23)),ISNUMBER(SEARCH("工場長",$E23)),ISNUMBER(SEARCH("社長",$E23)),ISNUMBER(SEARCH("出演",$E23)))),"◆","")</f>
        <v/>
      </c>
      <c r="S23" s="55" t="str">
        <f aca="false">IF(AND(S$7=$I23,OR(ISNUMBER(SEARCH("採用",$E23)),ISNUMBER(SEARCH("総務",$E23)),ISNUMBER(SEARCH("工場長",$E23)),ISNUMBER(SEARCH("社長",$E23)),ISNUMBER(SEARCH("出演",$E23)))),"◆","")</f>
        <v/>
      </c>
      <c r="T23" s="55" t="str">
        <f aca="false">IF(AND(T$7=$I23,OR(ISNUMBER(SEARCH("採用",$E23)),ISNUMBER(SEARCH("総務",$E23)),ISNUMBER(SEARCH("工場長",$E23)),ISNUMBER(SEARCH("社長",$E23)),ISNUMBER(SEARCH("出演",$E23)))),"◆","")</f>
        <v/>
      </c>
      <c r="U23" s="55" t="str">
        <f aca="false">IF(AND(U$7=$I23,OR(ISNUMBER(SEARCH("採用",$E23)),ISNUMBER(SEARCH("総務",$E23)),ISNUMBER(SEARCH("工場長",$E23)),ISNUMBER(SEARCH("社長",$E23)),ISNUMBER(SEARCH("出演",$E23)))),"◆","")</f>
        <v/>
      </c>
      <c r="V23" s="55" t="str">
        <f aca="false">IF(AND(V$7=$I23,OR(ISNUMBER(SEARCH("採用",$E23)),ISNUMBER(SEARCH("総務",$E23)),ISNUMBER(SEARCH("工場長",$E23)),ISNUMBER(SEARCH("社長",$E23)),ISNUMBER(SEARCH("出演",$E23)))),"◆","")</f>
        <v/>
      </c>
      <c r="W23" s="55" t="str">
        <f aca="false">IF(AND(W$7=$I23,OR(ISNUMBER(SEARCH("採用",$E23)),ISNUMBER(SEARCH("総務",$E23)),ISNUMBER(SEARCH("工場長",$E23)),ISNUMBER(SEARCH("社長",$E23)),ISNUMBER(SEARCH("出演",$E23)))),"◆","")</f>
        <v/>
      </c>
      <c r="X23" s="55" t="str">
        <f aca="false">IF(AND(X$7=$I23,OR(ISNUMBER(SEARCH("採用",$E23)),ISNUMBER(SEARCH("総務",$E23)),ISNUMBER(SEARCH("工場長",$E23)),ISNUMBER(SEARCH("社長",$E23)),ISNUMBER(SEARCH("出演",$E23)))),"◆","")</f>
        <v/>
      </c>
      <c r="Y23" s="55" t="str">
        <f aca="false">IF(AND(Y$7=$I23,OR(ISNUMBER(SEARCH("採用",$E23)),ISNUMBER(SEARCH("総務",$E23)),ISNUMBER(SEARCH("工場長",$E23)),ISNUMBER(SEARCH("社長",$E23)),ISNUMBER(SEARCH("出演",$E23)))),"◆","")</f>
        <v/>
      </c>
      <c r="Z23" s="55" t="str">
        <f aca="false">IF(AND(Z$7=$I23,OR(ISNUMBER(SEARCH("採用",$E23)),ISNUMBER(SEARCH("総務",$E23)),ISNUMBER(SEARCH("工場長",$E23)),ISNUMBER(SEARCH("社長",$E23)),ISNUMBER(SEARCH("出演",$E23)))),"◆","")</f>
        <v/>
      </c>
      <c r="AA23" s="55" t="str">
        <f aca="false">IF(AND(AA$7=$I23,OR(ISNUMBER(SEARCH("採用",$E23)),ISNUMBER(SEARCH("総務",$E23)),ISNUMBER(SEARCH("工場長",$E23)),ISNUMBER(SEARCH("社長",$E23)),ISNUMBER(SEARCH("出演",$E23)))),"◆","")</f>
        <v/>
      </c>
      <c r="AB23" s="55" t="str">
        <f aca="false">IF(AND(AB$7=$I23,OR(ISNUMBER(SEARCH("採用",$E23)),ISNUMBER(SEARCH("総務",$E23)),ISNUMBER(SEARCH("工場長",$E23)),ISNUMBER(SEARCH("社長",$E23)),ISNUMBER(SEARCH("出演",$E23)))),"◆","")</f>
        <v/>
      </c>
      <c r="AC23" s="55" t="str">
        <f aca="false">IF(AND(AC$7=$I23,OR(ISNUMBER(SEARCH("採用",$E23)),ISNUMBER(SEARCH("総務",$E23)),ISNUMBER(SEARCH("工場長",$E23)),ISNUMBER(SEARCH("社長",$E23)),ISNUMBER(SEARCH("出演",$E23)))),"◆","")</f>
        <v/>
      </c>
      <c r="AD23" s="55" t="str">
        <f aca="false">IF(AND(AD$7=$I23,OR(ISNUMBER(SEARCH("採用",$E23)),ISNUMBER(SEARCH("総務",$E23)),ISNUMBER(SEARCH("工場長",$E23)),ISNUMBER(SEARCH("社長",$E23)),ISNUMBER(SEARCH("出演",$E23)))),"◆","")</f>
        <v/>
      </c>
      <c r="AE23" s="55" t="str">
        <f aca="false">IF(AND(AE$7=$I23,OR(ISNUMBER(SEARCH("採用",$E23)),ISNUMBER(SEARCH("総務",$E23)),ISNUMBER(SEARCH("工場長",$E23)),ISNUMBER(SEARCH("社長",$E23)),ISNUMBER(SEARCH("出演",$E23)))),"◆","")</f>
        <v/>
      </c>
      <c r="AF23" s="55" t="str">
        <f aca="false">IF(AND(AF$7=$I23,OR(ISNUMBER(SEARCH("採用",$E23)),ISNUMBER(SEARCH("総務",$E23)),ISNUMBER(SEARCH("工場長",$E23)),ISNUMBER(SEARCH("社長",$E23)),ISNUMBER(SEARCH("出演",$E23)))),"◆","")</f>
        <v/>
      </c>
      <c r="AG23" s="55" t="str">
        <f aca="false">IF(AND(AG$7=$I23,OR(ISNUMBER(SEARCH("採用",$E23)),ISNUMBER(SEARCH("総務",$E23)),ISNUMBER(SEARCH("工場長",$E23)),ISNUMBER(SEARCH("社長",$E23)),ISNUMBER(SEARCH("出演",$E23)))),"◆","")</f>
        <v/>
      </c>
      <c r="AH23" s="55" t="str">
        <f aca="false">IF(AND(AH$7=$I23,OR(ISNUMBER(SEARCH("採用",$E23)),ISNUMBER(SEARCH("総務",$E23)),ISNUMBER(SEARCH("工場長",$E23)),ISNUMBER(SEARCH("社長",$E23)),ISNUMBER(SEARCH("出演",$E23)))),"◆","")</f>
        <v/>
      </c>
      <c r="AI23" s="55" t="str">
        <f aca="false">IF(AND(AI$7=$I23,OR(ISNUMBER(SEARCH("採用",$E23)),ISNUMBER(SEARCH("総務",$E23)),ISNUMBER(SEARCH("工場長",$E23)),ISNUMBER(SEARCH("社長",$E23)),ISNUMBER(SEARCH("出演",$E23)))),"◆","")</f>
        <v/>
      </c>
      <c r="AJ23" s="55" t="str">
        <f aca="false">IF(AND(AJ$7=$I23,OR(ISNUMBER(SEARCH("採用",$E23)),ISNUMBER(SEARCH("総務",$E23)),ISNUMBER(SEARCH("工場長",$E23)),ISNUMBER(SEARCH("社長",$E23)),ISNUMBER(SEARCH("出演",$E23)))),"◆","")</f>
        <v/>
      </c>
      <c r="AK23" s="55" t="str">
        <f aca="false">IF(AND(AK$7=$I23,OR(ISNUMBER(SEARCH("採用",$E23)),ISNUMBER(SEARCH("総務",$E23)),ISNUMBER(SEARCH("工場長",$E23)),ISNUMBER(SEARCH("社長",$E23)),ISNUMBER(SEARCH("出演",$E23)))),"◆","")</f>
        <v/>
      </c>
      <c r="AL23" s="55" t="str">
        <f aca="false">IF(AND(AL$7=$I23,OR(ISNUMBER(SEARCH("採用",$E23)),ISNUMBER(SEARCH("総務",$E23)),ISNUMBER(SEARCH("工場長",$E23)),ISNUMBER(SEARCH("社長",$E23)),ISNUMBER(SEARCH("出演",$E23)))),"◆","")</f>
        <v/>
      </c>
      <c r="AM23" s="55" t="str">
        <f aca="false">IF(AND(AM$7=$I23,OR(ISNUMBER(SEARCH("採用",$E23)),ISNUMBER(SEARCH("総務",$E23)),ISNUMBER(SEARCH("工場長",$E23)),ISNUMBER(SEARCH("社長",$E23)),ISNUMBER(SEARCH("出演",$E23)))),"◆","")</f>
        <v/>
      </c>
      <c r="AN23" s="55" t="str">
        <f aca="false">IF(AND(AN$7=$I23,OR(ISNUMBER(SEARCH("採用",$E23)),ISNUMBER(SEARCH("総務",$E23)),ISNUMBER(SEARCH("工場長",$E23)),ISNUMBER(SEARCH("社長",$E23)),ISNUMBER(SEARCH("出演",$E23)))),"◆","")</f>
        <v/>
      </c>
      <c r="AO23" s="55" t="str">
        <f aca="false">IF(AND(AO$7=$I23,OR(ISNUMBER(SEARCH("採用",$E23)),ISNUMBER(SEARCH("総務",$E23)),ISNUMBER(SEARCH("工場長",$E23)),ISNUMBER(SEARCH("社長",$E23)),ISNUMBER(SEARCH("出演",$E23)))),"◆","")</f>
        <v/>
      </c>
      <c r="AP23" s="55" t="str">
        <f aca="false">IF(AND(AP$7=$I23,OR(ISNUMBER(SEARCH("採用",$E23)),ISNUMBER(SEARCH("総務",$E23)),ISNUMBER(SEARCH("工場長",$E23)),ISNUMBER(SEARCH("社長",$E23)),ISNUMBER(SEARCH("出演",$E23)))),"◆","")</f>
        <v/>
      </c>
      <c r="AQ23" s="55" t="str">
        <f aca="false">IF(AND(AQ$7=$I23,OR(ISNUMBER(SEARCH("採用",$E23)),ISNUMBER(SEARCH("総務",$E23)),ISNUMBER(SEARCH("工場長",$E23)),ISNUMBER(SEARCH("社長",$E23)),ISNUMBER(SEARCH("出演",$E23)))),"◆","")</f>
        <v/>
      </c>
      <c r="AR23" s="55" t="str">
        <f aca="false">IF(AND(AR$7=$I23,OR(ISNUMBER(SEARCH("採用",$E23)),ISNUMBER(SEARCH("総務",$E23)),ISNUMBER(SEARCH("工場長",$E23)),ISNUMBER(SEARCH("社長",$E23)),ISNUMBER(SEARCH("出演",$E23)))),"◆","")</f>
        <v/>
      </c>
      <c r="AS23" s="55" t="str">
        <f aca="false">IF(AND(AS$7=$I23,OR(ISNUMBER(SEARCH("採用",$E23)),ISNUMBER(SEARCH("総務",$E23)),ISNUMBER(SEARCH("工場長",$E23)),ISNUMBER(SEARCH("社長",$E23)),ISNUMBER(SEARCH("出演",$E23)))),"◆","")</f>
        <v/>
      </c>
      <c r="AT23" s="55" t="str">
        <f aca="false">IF(AND(AT$7=$I23,OR(ISNUMBER(SEARCH("採用",$E23)),ISNUMBER(SEARCH("総務",$E23)),ISNUMBER(SEARCH("工場長",$E23)),ISNUMBER(SEARCH("社長",$E23)),ISNUMBER(SEARCH("出演",$E23)))),"◆","")</f>
        <v/>
      </c>
      <c r="AU23" s="55" t="str">
        <f aca="false">IF(AND(AU$7=$I23,OR(ISNUMBER(SEARCH("採用",$E23)),ISNUMBER(SEARCH("総務",$E23)),ISNUMBER(SEARCH("工場長",$E23)),ISNUMBER(SEARCH("社長",$E23)),ISNUMBER(SEARCH("出演",$E23)))),"◆","")</f>
        <v/>
      </c>
      <c r="AV23" s="55" t="str">
        <f aca="false">IF(AND(AV$7=$I23,OR(ISNUMBER(SEARCH("採用",$E23)),ISNUMBER(SEARCH("総務",$E23)),ISNUMBER(SEARCH("工場長",$E23)),ISNUMBER(SEARCH("社長",$E23)),ISNUMBER(SEARCH("出演",$E23)))),"◆","")</f>
        <v/>
      </c>
      <c r="AW23" s="55" t="str">
        <f aca="false">IF(AND(AW$7=$I23,OR(ISNUMBER(SEARCH("採用",$E23)),ISNUMBER(SEARCH("総務",$E23)),ISNUMBER(SEARCH("工場長",$E23)),ISNUMBER(SEARCH("社長",$E23)),ISNUMBER(SEARCH("出演",$E23)))),"◆","")</f>
        <v/>
      </c>
      <c r="AX23" s="55" t="str">
        <f aca="false">IF(AND(AX$7=$I23,OR(ISNUMBER(SEARCH("採用",$E23)),ISNUMBER(SEARCH("総務",$E23)),ISNUMBER(SEARCH("工場長",$E23)),ISNUMBER(SEARCH("社長",$E23)),ISNUMBER(SEARCH("出演",$E23)))),"◆","")</f>
        <v/>
      </c>
      <c r="AY23" s="55" t="str">
        <f aca="false">IF(AND(AY$7=$I23,OR(ISNUMBER(SEARCH("採用",$E23)),ISNUMBER(SEARCH("総務",$E23)),ISNUMBER(SEARCH("工場長",$E23)),ISNUMBER(SEARCH("社長",$E23)),ISNUMBER(SEARCH("出演",$E23)))),"◆","")</f>
        <v/>
      </c>
      <c r="AZ23" s="55" t="str">
        <f aca="false">IF(AND(AZ$7=$I23,OR(ISNUMBER(SEARCH("採用",$E23)),ISNUMBER(SEARCH("総務",$E23)),ISNUMBER(SEARCH("工場長",$E23)),ISNUMBER(SEARCH("社長",$E23)),ISNUMBER(SEARCH("出演",$E23)))),"◆","")</f>
        <v/>
      </c>
      <c r="BA23" s="55" t="str">
        <f aca="false">IF(AND(BA$7=$I23,OR(ISNUMBER(SEARCH("採用",$E23)),ISNUMBER(SEARCH("総務",$E23)),ISNUMBER(SEARCH("工場長",$E23)),ISNUMBER(SEARCH("社長",$E23)),ISNUMBER(SEARCH("出演",$E23)))),"◆","")</f>
        <v/>
      </c>
      <c r="BB23" s="55" t="str">
        <f aca="false">IF(AND(BB$7=$I23,OR(ISNUMBER(SEARCH("採用",$E23)),ISNUMBER(SEARCH("総務",$E23)),ISNUMBER(SEARCH("工場長",$E23)),ISNUMBER(SEARCH("社長",$E23)),ISNUMBER(SEARCH("出演",$E23)))),"◆","")</f>
        <v/>
      </c>
      <c r="BC23" s="55" t="str">
        <f aca="false">IF(AND(BC$7=$I23,OR(ISNUMBER(SEARCH("採用",$E23)),ISNUMBER(SEARCH("総務",$E23)),ISNUMBER(SEARCH("工場長",$E23)),ISNUMBER(SEARCH("社長",$E23)),ISNUMBER(SEARCH("出演",$E23)))),"◆","")</f>
        <v/>
      </c>
      <c r="BD23" s="55" t="str">
        <f aca="false">IF(AND(BD$7=$I23,OR(ISNUMBER(SEARCH("採用",$E23)),ISNUMBER(SEARCH("総務",$E23)),ISNUMBER(SEARCH("工場長",$E23)),ISNUMBER(SEARCH("社長",$E23)),ISNUMBER(SEARCH("出演",$E23)))),"◆","")</f>
        <v/>
      </c>
      <c r="BE23" s="55" t="str">
        <f aca="false">IF(AND(BE$7=$I23,OR(ISNUMBER(SEARCH("採用",$E23)),ISNUMBER(SEARCH("総務",$E23)),ISNUMBER(SEARCH("工場長",$E23)),ISNUMBER(SEARCH("社長",$E23)),ISNUMBER(SEARCH("出演",$E23)))),"◆","")</f>
        <v/>
      </c>
      <c r="BF23" s="55" t="str">
        <f aca="false">IF(AND(BF$7=$I23,OR(ISNUMBER(SEARCH("採用",$E23)),ISNUMBER(SEARCH("総務",$E23)),ISNUMBER(SEARCH("工場長",$E23)),ISNUMBER(SEARCH("社長",$E23)),ISNUMBER(SEARCH("出演",$E23)))),"◆","")</f>
        <v/>
      </c>
      <c r="BG23" s="55" t="str">
        <f aca="false">IF(AND(BG$7=$I23,OR(ISNUMBER(SEARCH("採用",$E23)),ISNUMBER(SEARCH("総務",$E23)),ISNUMBER(SEARCH("工場長",$E23)),ISNUMBER(SEARCH("社長",$E23)),ISNUMBER(SEARCH("出演",$E23)))),"◆","")</f>
        <v/>
      </c>
      <c r="BH23" s="55" t="str">
        <f aca="false">IF(AND(BH$7=$I23,OR(ISNUMBER(SEARCH("採用",$E23)),ISNUMBER(SEARCH("総務",$E23)),ISNUMBER(SEARCH("工場長",$E23)),ISNUMBER(SEARCH("社長",$E23)),ISNUMBER(SEARCH("出演",$E23)))),"◆","")</f>
        <v/>
      </c>
      <c r="BI23" s="55" t="str">
        <f aca="false">IF(AND(BI$7=$I23,OR(ISNUMBER(SEARCH("採用",$E23)),ISNUMBER(SEARCH("総務",$E23)),ISNUMBER(SEARCH("工場長",$E23)),ISNUMBER(SEARCH("社長",$E23)),ISNUMBER(SEARCH("出演",$E23)))),"◆","")</f>
        <v/>
      </c>
      <c r="BJ23" s="55" t="str">
        <f aca="false">IF(AND(BJ$7=$I23,OR(ISNUMBER(SEARCH("採用",$E23)),ISNUMBER(SEARCH("総務",$E23)),ISNUMBER(SEARCH("工場長",$E23)),ISNUMBER(SEARCH("社長",$E23)),ISNUMBER(SEARCH("出演",$E23)))),"◆","")</f>
        <v/>
      </c>
      <c r="BK23" s="55" t="str">
        <f aca="false">IF(AND(BK$7=$I23,OR(ISNUMBER(SEARCH("採用",$E23)),ISNUMBER(SEARCH("総務",$E23)),ISNUMBER(SEARCH("工場長",$E23)),ISNUMBER(SEARCH("社長",$E23)),ISNUMBER(SEARCH("出演",$E23)))),"◆","")</f>
        <v/>
      </c>
      <c r="BL23" s="55" t="str">
        <f aca="false">IF(AND(BL$7=$I23,OR(ISNUMBER(SEARCH("採用",$E23)),ISNUMBER(SEARCH("総務",$E23)),ISNUMBER(SEARCH("工場長",$E23)),ISNUMBER(SEARCH("社長",$E23)),ISNUMBER(SEARCH("出演",$E23)))),"◆","")</f>
        <v/>
      </c>
      <c r="BM23" s="55" t="str">
        <f aca="false">IF(AND(BM$7=$I23,OR(ISNUMBER(SEARCH("採用",$E23)),ISNUMBER(SEARCH("総務",$E23)),ISNUMBER(SEARCH("工場長",$E23)),ISNUMBER(SEARCH("社長",$E23)),ISNUMBER(SEARCH("出演",$E23)))),"◆","")</f>
        <v/>
      </c>
      <c r="BN23" s="55" t="str">
        <f aca="false">IF(AND(BN$7=$I23,OR(ISNUMBER(SEARCH("採用",$E23)),ISNUMBER(SEARCH("総務",$E23)),ISNUMBER(SEARCH("工場長",$E23)),ISNUMBER(SEARCH("社長",$E23)),ISNUMBER(SEARCH("出演",$E23)))),"◆","")</f>
        <v/>
      </c>
      <c r="BO23" s="55" t="str">
        <f aca="false">IF(AND(BO$7=$I23,OR(ISNUMBER(SEARCH("採用",$E23)),ISNUMBER(SEARCH("総務",$E23)),ISNUMBER(SEARCH("工場長",$E23)),ISNUMBER(SEARCH("社長",$E23)),ISNUMBER(SEARCH("出演",$E23)))),"◆","")</f>
        <v/>
      </c>
      <c r="BP23" s="55" t="str">
        <f aca="false">IF(AND(BP$7=$I23,OR(ISNUMBER(SEARCH("採用",$E23)),ISNUMBER(SEARCH("総務",$E23)),ISNUMBER(SEARCH("工場長",$E23)),ISNUMBER(SEARCH("社長",$E23)),ISNUMBER(SEARCH("出演",$E23)))),"◆","")</f>
        <v/>
      </c>
      <c r="BQ23" s="55" t="str">
        <f aca="false">IF(AND(BQ$7=$I23,OR(ISNUMBER(SEARCH("採用",$E23)),ISNUMBER(SEARCH("総務",$E23)),ISNUMBER(SEARCH("工場長",$E23)),ISNUMBER(SEARCH("社長",$E23)),ISNUMBER(SEARCH("出演",$E23)))),"◆","")</f>
        <v/>
      </c>
      <c r="BR23" s="55" t="str">
        <f aca="false">IF(AND(BR$7=$I23,OR(ISNUMBER(SEARCH("採用",$E23)),ISNUMBER(SEARCH("総務",$E23)),ISNUMBER(SEARCH("工場長",$E23)),ISNUMBER(SEARCH("社長",$E23)),ISNUMBER(SEARCH("出演",$E23)))),"◆","")</f>
        <v/>
      </c>
      <c r="BS23" s="55" t="str">
        <f aca="false">IF(AND(BS$7=$I23,OR(ISNUMBER(SEARCH("採用",$E23)),ISNUMBER(SEARCH("総務",$E23)),ISNUMBER(SEARCH("工場長",$E23)),ISNUMBER(SEARCH("社長",$E23)),ISNUMBER(SEARCH("出演",$E23)))),"◆","")</f>
        <v/>
      </c>
      <c r="BT23" s="55" t="str">
        <f aca="false">IF(AND(BT$7=$I23,OR(ISNUMBER(SEARCH("採用",$E23)),ISNUMBER(SEARCH("総務",$E23)),ISNUMBER(SEARCH("工場長",$E23)),ISNUMBER(SEARCH("社長",$E23)),ISNUMBER(SEARCH("出演",$E23)))),"◆","")</f>
        <v/>
      </c>
      <c r="BU23" s="55" t="str">
        <f aca="false">IF(AND(BU$7=$I23,OR(ISNUMBER(SEARCH("採用",$E23)),ISNUMBER(SEARCH("総務",$E23)),ISNUMBER(SEARCH("工場長",$E23)),ISNUMBER(SEARCH("社長",$E23)),ISNUMBER(SEARCH("出演",$E23)))),"◆","")</f>
        <v/>
      </c>
      <c r="BV23" s="55" t="str">
        <f aca="false">IF(AND(BV$7=$I23,OR(ISNUMBER(SEARCH("採用",$E23)),ISNUMBER(SEARCH("総務",$E23)),ISNUMBER(SEARCH("工場長",$E23)),ISNUMBER(SEARCH("社長",$E23)),ISNUMBER(SEARCH("出演",$E23)))),"◆","")</f>
        <v/>
      </c>
      <c r="BW23" s="55" t="str">
        <f aca="false">IF(AND(BW$7=$I23,OR(ISNUMBER(SEARCH("採用",$E23)),ISNUMBER(SEARCH("総務",$E23)),ISNUMBER(SEARCH("工場長",$E23)),ISNUMBER(SEARCH("社長",$E23)),ISNUMBER(SEARCH("出演",$E23)))),"◆","")</f>
        <v/>
      </c>
      <c r="BX23" s="55" t="str">
        <f aca="false">IF(AND(BX$7=$I23,OR(ISNUMBER(SEARCH("採用",$E23)),ISNUMBER(SEARCH("総務",$E23)),ISNUMBER(SEARCH("工場長",$E23)),ISNUMBER(SEARCH("社長",$E23)),ISNUMBER(SEARCH("出演",$E23)))),"◆","")</f>
        <v/>
      </c>
      <c r="BY23" s="55" t="str">
        <f aca="false">IF(AND(BY$7=$I23,OR(ISNUMBER(SEARCH("採用",$E23)),ISNUMBER(SEARCH("総務",$E23)),ISNUMBER(SEARCH("工場長",$E23)),ISNUMBER(SEARCH("社長",$E23)),ISNUMBER(SEARCH("出演",$E23)))),"◆","")</f>
        <v/>
      </c>
      <c r="BZ23" s="55" t="str">
        <f aca="false">IF(AND(BZ$7=$I23,OR(ISNUMBER(SEARCH("採用",$E23)),ISNUMBER(SEARCH("総務",$E23)),ISNUMBER(SEARCH("工場長",$E23)),ISNUMBER(SEARCH("社長",$E23)),ISNUMBER(SEARCH("出演",$E23)))),"◆","")</f>
        <v/>
      </c>
      <c r="CA23" s="55" t="str">
        <f aca="false">IF(AND(CA$7=$I23,OR(ISNUMBER(SEARCH("採用",$E23)),ISNUMBER(SEARCH("総務",$E23)),ISNUMBER(SEARCH("工場長",$E23)),ISNUMBER(SEARCH("社長",$E23)),ISNUMBER(SEARCH("出演",$E23)))),"◆","")</f>
        <v/>
      </c>
      <c r="CB23" s="55" t="str">
        <f aca="false">IF(AND(CB$7=$I23,OR(ISNUMBER(SEARCH("採用",$E23)),ISNUMBER(SEARCH("総務",$E23)),ISNUMBER(SEARCH("工場長",$E23)),ISNUMBER(SEARCH("社長",$E23)),ISNUMBER(SEARCH("出演",$E23)))),"◆","")</f>
        <v/>
      </c>
      <c r="CC23" s="55" t="str">
        <f aca="false">IF(AND(CC$7=$I23,OR(ISNUMBER(SEARCH("採用",$E23)),ISNUMBER(SEARCH("総務",$E23)),ISNUMBER(SEARCH("工場長",$E23)),ISNUMBER(SEARCH("社長",$E23)),ISNUMBER(SEARCH("出演",$E23)))),"◆","")</f>
        <v/>
      </c>
      <c r="CD23" s="55" t="str">
        <f aca="false">IF(AND(CD$7=$I23,OR(ISNUMBER(SEARCH("採用",$E23)),ISNUMBER(SEARCH("総務",$E23)),ISNUMBER(SEARCH("工場長",$E23)),ISNUMBER(SEARCH("社長",$E23)),ISNUMBER(SEARCH("出演",$E23)))),"◆","")</f>
        <v/>
      </c>
      <c r="CE23" s="55" t="str">
        <f aca="false">IF(AND(CE$7=$I23,OR(ISNUMBER(SEARCH("採用",$E23)),ISNUMBER(SEARCH("総務",$E23)),ISNUMBER(SEARCH("工場長",$E23)),ISNUMBER(SEARCH("社長",$E23)),ISNUMBER(SEARCH("出演",$E23)))),"◆","")</f>
        <v/>
      </c>
      <c r="CF23" s="55" t="str">
        <f aca="false">IF(AND(CF$7=$I23,OR(ISNUMBER(SEARCH("採用",$E23)),ISNUMBER(SEARCH("総務",$E23)),ISNUMBER(SEARCH("工場長",$E23)),ISNUMBER(SEARCH("社長",$E23)),ISNUMBER(SEARCH("出演",$E23)))),"◆","")</f>
        <v/>
      </c>
      <c r="CG23" s="55" t="str">
        <f aca="false">IF(AND(CG$7=$I23,OR(ISNUMBER(SEARCH("採用",$E23)),ISNUMBER(SEARCH("総務",$E23)),ISNUMBER(SEARCH("工場長",$E23)),ISNUMBER(SEARCH("社長",$E23)),ISNUMBER(SEARCH("出演",$E23)))),"◆","")</f>
        <v/>
      </c>
      <c r="CH23" s="55" t="str">
        <f aca="false">IF(AND(CH$7=$I23,OR(ISNUMBER(SEARCH("採用",$E23)),ISNUMBER(SEARCH("総務",$E23)),ISNUMBER(SEARCH("工場長",$E23)),ISNUMBER(SEARCH("社長",$E23)),ISNUMBER(SEARCH("出演",$E23)))),"◆","")</f>
        <v/>
      </c>
      <c r="CI23" s="55" t="str">
        <f aca="false">IF(AND(CI$7=$I23,OR(ISNUMBER(SEARCH("採用",$E23)),ISNUMBER(SEARCH("総務",$E23)),ISNUMBER(SEARCH("工場長",$E23)),ISNUMBER(SEARCH("社長",$E23)),ISNUMBER(SEARCH("出演",$E23)))),"◆","")</f>
        <v/>
      </c>
      <c r="CJ23" s="55" t="str">
        <f aca="false">IF(AND(CJ$7=$I23,OR(ISNUMBER(SEARCH("採用",$E23)),ISNUMBER(SEARCH("総務",$E23)),ISNUMBER(SEARCH("工場長",$E23)),ISNUMBER(SEARCH("社長",$E23)),ISNUMBER(SEARCH("出演",$E23)))),"◆","")</f>
        <v/>
      </c>
      <c r="CK23" s="55" t="str">
        <f aca="false">IF(AND(CK$7=$I23,OR(ISNUMBER(SEARCH("採用",$E23)),ISNUMBER(SEARCH("総務",$E23)),ISNUMBER(SEARCH("工場長",$E23)),ISNUMBER(SEARCH("社長",$E23)),ISNUMBER(SEARCH("出演",$E23)))),"◆","")</f>
        <v/>
      </c>
      <c r="CL23" s="55" t="str">
        <f aca="false">IF(AND(CL$7=$I23,OR(ISNUMBER(SEARCH("採用",$E23)),ISNUMBER(SEARCH("総務",$E23)),ISNUMBER(SEARCH("工場長",$E23)),ISNUMBER(SEARCH("社長",$E23)),ISNUMBER(SEARCH("出演",$E23)))),"◆","")</f>
        <v/>
      </c>
      <c r="CM23" s="55" t="str">
        <f aca="false">IF(AND(CM$7=$I23,OR(ISNUMBER(SEARCH("採用",$E23)),ISNUMBER(SEARCH("総務",$E23)),ISNUMBER(SEARCH("工場長",$E23)),ISNUMBER(SEARCH("社長",$E23)),ISNUMBER(SEARCH("出演",$E23)))),"◆","")</f>
        <v/>
      </c>
      <c r="CN23" s="55" t="str">
        <f aca="false">IF(AND(CN$7=$I23,OR(ISNUMBER(SEARCH("採用",$E23)),ISNUMBER(SEARCH("総務",$E23)),ISNUMBER(SEARCH("工場長",$E23)),ISNUMBER(SEARCH("社長",$E23)),ISNUMBER(SEARCH("出演",$E23)))),"◆","")</f>
        <v/>
      </c>
      <c r="CO23" s="55" t="str">
        <f aca="false">IF(AND(CO$7=$I23,OR(ISNUMBER(SEARCH("採用",$E23)),ISNUMBER(SEARCH("総務",$E23)),ISNUMBER(SEARCH("工場長",$E23)),ISNUMBER(SEARCH("社長",$E23)),ISNUMBER(SEARCH("出演",$E23)))),"◆","")</f>
        <v/>
      </c>
      <c r="CP23" s="55" t="str">
        <f aca="false">IF(AND(CP$7=$I23,OR(ISNUMBER(SEARCH("採用",$E23)),ISNUMBER(SEARCH("総務",$E23)),ISNUMBER(SEARCH("工場長",$E23)),ISNUMBER(SEARCH("社長",$E23)),ISNUMBER(SEARCH("出演",$E23)))),"◆","")</f>
        <v/>
      </c>
    </row>
    <row r="24" customFormat="false" ht="25.5" hidden="false" customHeight="true" outlineLevel="0" collapsed="false">
      <c r="A24" s="48" t="str">
        <f aca="false">制作工程表!A19</f>
        <v>T11</v>
      </c>
      <c r="B24" s="49" t="str">
        <f aca="false">制作工程表!B19</f>
        <v>執筆</v>
      </c>
      <c r="C24" s="50" t="str">
        <f aca="false">制作工程表!C19</f>
        <v>仕事紹介・インタビュー原稿</v>
      </c>
      <c r="D24" s="51" t="str">
        <f aca="false">制作工程表!D19</f>
        <v>ライター</v>
      </c>
      <c r="E24" s="51" t="str">
        <f aca="false">制作工程表!E19</f>
        <v>—</v>
      </c>
      <c r="F24" s="52" t="str">
        <f aca="false">IF(制作工程表!B19="取材撮影","撮影",IF(OR(制作工程表!D19="採用担当",制作工程表!D19="総務窓口",制作工程表!D19="工場長"),"企業","制作"))</f>
        <v>制作</v>
      </c>
      <c r="G24" s="53" t="n">
        <f aca="false">制作工程表!G19</f>
        <v>46324</v>
      </c>
      <c r="H24" s="53" t="n">
        <f aca="false">制作工程表!H19</f>
        <v>46331</v>
      </c>
      <c r="I24" s="54" t="str">
        <f aca="false">制作工程表!I19</f>
        <v>—</v>
      </c>
      <c r="J24" s="49" t="str">
        <f aca="false">制作工程表!K19</f>
        <v>未着手</v>
      </c>
      <c r="K24" s="55" t="str">
        <f aca="false">IF(AND(K$7=$I24,OR(ISNUMBER(SEARCH("採用",$E24)),ISNUMBER(SEARCH("総務",$E24)),ISNUMBER(SEARCH("工場長",$E24)),ISNUMBER(SEARCH("社長",$E24)),ISNUMBER(SEARCH("出演",$E24)))),"◆","")</f>
        <v/>
      </c>
      <c r="L24" s="55" t="str">
        <f aca="false">IF(AND(L$7=$I24,OR(ISNUMBER(SEARCH("採用",$E24)),ISNUMBER(SEARCH("総務",$E24)),ISNUMBER(SEARCH("工場長",$E24)),ISNUMBER(SEARCH("社長",$E24)),ISNUMBER(SEARCH("出演",$E24)))),"◆","")</f>
        <v/>
      </c>
      <c r="M24" s="55" t="str">
        <f aca="false">IF(AND(M$7=$I24,OR(ISNUMBER(SEARCH("採用",$E24)),ISNUMBER(SEARCH("総務",$E24)),ISNUMBER(SEARCH("工場長",$E24)),ISNUMBER(SEARCH("社長",$E24)),ISNUMBER(SEARCH("出演",$E24)))),"◆","")</f>
        <v/>
      </c>
      <c r="N24" s="55" t="str">
        <f aca="false">IF(AND(N$7=$I24,OR(ISNUMBER(SEARCH("採用",$E24)),ISNUMBER(SEARCH("総務",$E24)),ISNUMBER(SEARCH("工場長",$E24)),ISNUMBER(SEARCH("社長",$E24)),ISNUMBER(SEARCH("出演",$E24)))),"◆","")</f>
        <v/>
      </c>
      <c r="O24" s="55" t="str">
        <f aca="false">IF(AND(O$7=$I24,OR(ISNUMBER(SEARCH("採用",$E24)),ISNUMBER(SEARCH("総務",$E24)),ISNUMBER(SEARCH("工場長",$E24)),ISNUMBER(SEARCH("社長",$E24)),ISNUMBER(SEARCH("出演",$E24)))),"◆","")</f>
        <v/>
      </c>
      <c r="P24" s="55" t="str">
        <f aca="false">IF(AND(P$7=$I24,OR(ISNUMBER(SEARCH("採用",$E24)),ISNUMBER(SEARCH("総務",$E24)),ISNUMBER(SEARCH("工場長",$E24)),ISNUMBER(SEARCH("社長",$E24)),ISNUMBER(SEARCH("出演",$E24)))),"◆","")</f>
        <v/>
      </c>
      <c r="Q24" s="55" t="str">
        <f aca="false">IF(AND(Q$7=$I24,OR(ISNUMBER(SEARCH("採用",$E24)),ISNUMBER(SEARCH("総務",$E24)),ISNUMBER(SEARCH("工場長",$E24)),ISNUMBER(SEARCH("社長",$E24)),ISNUMBER(SEARCH("出演",$E24)))),"◆","")</f>
        <v/>
      </c>
      <c r="R24" s="55" t="str">
        <f aca="false">IF(AND(R$7=$I24,OR(ISNUMBER(SEARCH("採用",$E24)),ISNUMBER(SEARCH("総務",$E24)),ISNUMBER(SEARCH("工場長",$E24)),ISNUMBER(SEARCH("社長",$E24)),ISNUMBER(SEARCH("出演",$E24)))),"◆","")</f>
        <v/>
      </c>
      <c r="S24" s="55" t="str">
        <f aca="false">IF(AND(S$7=$I24,OR(ISNUMBER(SEARCH("採用",$E24)),ISNUMBER(SEARCH("総務",$E24)),ISNUMBER(SEARCH("工場長",$E24)),ISNUMBER(SEARCH("社長",$E24)),ISNUMBER(SEARCH("出演",$E24)))),"◆","")</f>
        <v/>
      </c>
      <c r="T24" s="55" t="str">
        <f aca="false">IF(AND(T$7=$I24,OR(ISNUMBER(SEARCH("採用",$E24)),ISNUMBER(SEARCH("総務",$E24)),ISNUMBER(SEARCH("工場長",$E24)),ISNUMBER(SEARCH("社長",$E24)),ISNUMBER(SEARCH("出演",$E24)))),"◆","")</f>
        <v/>
      </c>
      <c r="U24" s="55" t="str">
        <f aca="false">IF(AND(U$7=$I24,OR(ISNUMBER(SEARCH("採用",$E24)),ISNUMBER(SEARCH("総務",$E24)),ISNUMBER(SEARCH("工場長",$E24)),ISNUMBER(SEARCH("社長",$E24)),ISNUMBER(SEARCH("出演",$E24)))),"◆","")</f>
        <v/>
      </c>
      <c r="V24" s="55" t="str">
        <f aca="false">IF(AND(V$7=$I24,OR(ISNUMBER(SEARCH("採用",$E24)),ISNUMBER(SEARCH("総務",$E24)),ISNUMBER(SEARCH("工場長",$E24)),ISNUMBER(SEARCH("社長",$E24)),ISNUMBER(SEARCH("出演",$E24)))),"◆","")</f>
        <v/>
      </c>
      <c r="W24" s="55" t="str">
        <f aca="false">IF(AND(W$7=$I24,OR(ISNUMBER(SEARCH("採用",$E24)),ISNUMBER(SEARCH("総務",$E24)),ISNUMBER(SEARCH("工場長",$E24)),ISNUMBER(SEARCH("社長",$E24)),ISNUMBER(SEARCH("出演",$E24)))),"◆","")</f>
        <v/>
      </c>
      <c r="X24" s="55" t="str">
        <f aca="false">IF(AND(X$7=$I24,OR(ISNUMBER(SEARCH("採用",$E24)),ISNUMBER(SEARCH("総務",$E24)),ISNUMBER(SEARCH("工場長",$E24)),ISNUMBER(SEARCH("社長",$E24)),ISNUMBER(SEARCH("出演",$E24)))),"◆","")</f>
        <v/>
      </c>
      <c r="Y24" s="55" t="str">
        <f aca="false">IF(AND(Y$7=$I24,OR(ISNUMBER(SEARCH("採用",$E24)),ISNUMBER(SEARCH("総務",$E24)),ISNUMBER(SEARCH("工場長",$E24)),ISNUMBER(SEARCH("社長",$E24)),ISNUMBER(SEARCH("出演",$E24)))),"◆","")</f>
        <v/>
      </c>
      <c r="Z24" s="55" t="str">
        <f aca="false">IF(AND(Z$7=$I24,OR(ISNUMBER(SEARCH("採用",$E24)),ISNUMBER(SEARCH("総務",$E24)),ISNUMBER(SEARCH("工場長",$E24)),ISNUMBER(SEARCH("社長",$E24)),ISNUMBER(SEARCH("出演",$E24)))),"◆","")</f>
        <v/>
      </c>
      <c r="AA24" s="55" t="str">
        <f aca="false">IF(AND(AA$7=$I24,OR(ISNUMBER(SEARCH("採用",$E24)),ISNUMBER(SEARCH("総務",$E24)),ISNUMBER(SEARCH("工場長",$E24)),ISNUMBER(SEARCH("社長",$E24)),ISNUMBER(SEARCH("出演",$E24)))),"◆","")</f>
        <v/>
      </c>
      <c r="AB24" s="55" t="str">
        <f aca="false">IF(AND(AB$7=$I24,OR(ISNUMBER(SEARCH("採用",$E24)),ISNUMBER(SEARCH("総務",$E24)),ISNUMBER(SEARCH("工場長",$E24)),ISNUMBER(SEARCH("社長",$E24)),ISNUMBER(SEARCH("出演",$E24)))),"◆","")</f>
        <v/>
      </c>
      <c r="AC24" s="55" t="str">
        <f aca="false">IF(AND(AC$7=$I24,OR(ISNUMBER(SEARCH("採用",$E24)),ISNUMBER(SEARCH("総務",$E24)),ISNUMBER(SEARCH("工場長",$E24)),ISNUMBER(SEARCH("社長",$E24)),ISNUMBER(SEARCH("出演",$E24)))),"◆","")</f>
        <v/>
      </c>
      <c r="AD24" s="55" t="str">
        <f aca="false">IF(AND(AD$7=$I24,OR(ISNUMBER(SEARCH("採用",$E24)),ISNUMBER(SEARCH("総務",$E24)),ISNUMBER(SEARCH("工場長",$E24)),ISNUMBER(SEARCH("社長",$E24)),ISNUMBER(SEARCH("出演",$E24)))),"◆","")</f>
        <v/>
      </c>
      <c r="AE24" s="55" t="str">
        <f aca="false">IF(AND(AE$7=$I24,OR(ISNUMBER(SEARCH("採用",$E24)),ISNUMBER(SEARCH("総務",$E24)),ISNUMBER(SEARCH("工場長",$E24)),ISNUMBER(SEARCH("社長",$E24)),ISNUMBER(SEARCH("出演",$E24)))),"◆","")</f>
        <v/>
      </c>
      <c r="AF24" s="55" t="str">
        <f aca="false">IF(AND(AF$7=$I24,OR(ISNUMBER(SEARCH("採用",$E24)),ISNUMBER(SEARCH("総務",$E24)),ISNUMBER(SEARCH("工場長",$E24)),ISNUMBER(SEARCH("社長",$E24)),ISNUMBER(SEARCH("出演",$E24)))),"◆","")</f>
        <v/>
      </c>
      <c r="AG24" s="55" t="str">
        <f aca="false">IF(AND(AG$7=$I24,OR(ISNUMBER(SEARCH("採用",$E24)),ISNUMBER(SEARCH("総務",$E24)),ISNUMBER(SEARCH("工場長",$E24)),ISNUMBER(SEARCH("社長",$E24)),ISNUMBER(SEARCH("出演",$E24)))),"◆","")</f>
        <v/>
      </c>
      <c r="AH24" s="55" t="str">
        <f aca="false">IF(AND(AH$7=$I24,OR(ISNUMBER(SEARCH("採用",$E24)),ISNUMBER(SEARCH("総務",$E24)),ISNUMBER(SEARCH("工場長",$E24)),ISNUMBER(SEARCH("社長",$E24)),ISNUMBER(SEARCH("出演",$E24)))),"◆","")</f>
        <v/>
      </c>
      <c r="AI24" s="55" t="str">
        <f aca="false">IF(AND(AI$7=$I24,OR(ISNUMBER(SEARCH("採用",$E24)),ISNUMBER(SEARCH("総務",$E24)),ISNUMBER(SEARCH("工場長",$E24)),ISNUMBER(SEARCH("社長",$E24)),ISNUMBER(SEARCH("出演",$E24)))),"◆","")</f>
        <v/>
      </c>
      <c r="AJ24" s="55" t="str">
        <f aca="false">IF(AND(AJ$7=$I24,OR(ISNUMBER(SEARCH("採用",$E24)),ISNUMBER(SEARCH("総務",$E24)),ISNUMBER(SEARCH("工場長",$E24)),ISNUMBER(SEARCH("社長",$E24)),ISNUMBER(SEARCH("出演",$E24)))),"◆","")</f>
        <v/>
      </c>
      <c r="AK24" s="55" t="str">
        <f aca="false">IF(AND(AK$7=$I24,OR(ISNUMBER(SEARCH("採用",$E24)),ISNUMBER(SEARCH("総務",$E24)),ISNUMBER(SEARCH("工場長",$E24)),ISNUMBER(SEARCH("社長",$E24)),ISNUMBER(SEARCH("出演",$E24)))),"◆","")</f>
        <v/>
      </c>
      <c r="AL24" s="55" t="str">
        <f aca="false">IF(AND(AL$7=$I24,OR(ISNUMBER(SEARCH("採用",$E24)),ISNUMBER(SEARCH("総務",$E24)),ISNUMBER(SEARCH("工場長",$E24)),ISNUMBER(SEARCH("社長",$E24)),ISNUMBER(SEARCH("出演",$E24)))),"◆","")</f>
        <v/>
      </c>
      <c r="AM24" s="55" t="str">
        <f aca="false">IF(AND(AM$7=$I24,OR(ISNUMBER(SEARCH("採用",$E24)),ISNUMBER(SEARCH("総務",$E24)),ISNUMBER(SEARCH("工場長",$E24)),ISNUMBER(SEARCH("社長",$E24)),ISNUMBER(SEARCH("出演",$E24)))),"◆","")</f>
        <v/>
      </c>
      <c r="AN24" s="55" t="str">
        <f aca="false">IF(AND(AN$7=$I24,OR(ISNUMBER(SEARCH("採用",$E24)),ISNUMBER(SEARCH("総務",$E24)),ISNUMBER(SEARCH("工場長",$E24)),ISNUMBER(SEARCH("社長",$E24)),ISNUMBER(SEARCH("出演",$E24)))),"◆","")</f>
        <v/>
      </c>
      <c r="AO24" s="55" t="str">
        <f aca="false">IF(AND(AO$7=$I24,OR(ISNUMBER(SEARCH("採用",$E24)),ISNUMBER(SEARCH("総務",$E24)),ISNUMBER(SEARCH("工場長",$E24)),ISNUMBER(SEARCH("社長",$E24)),ISNUMBER(SEARCH("出演",$E24)))),"◆","")</f>
        <v/>
      </c>
      <c r="AP24" s="55" t="str">
        <f aca="false">IF(AND(AP$7=$I24,OR(ISNUMBER(SEARCH("採用",$E24)),ISNUMBER(SEARCH("総務",$E24)),ISNUMBER(SEARCH("工場長",$E24)),ISNUMBER(SEARCH("社長",$E24)),ISNUMBER(SEARCH("出演",$E24)))),"◆","")</f>
        <v/>
      </c>
      <c r="AQ24" s="55" t="str">
        <f aca="false">IF(AND(AQ$7=$I24,OR(ISNUMBER(SEARCH("採用",$E24)),ISNUMBER(SEARCH("総務",$E24)),ISNUMBER(SEARCH("工場長",$E24)),ISNUMBER(SEARCH("社長",$E24)),ISNUMBER(SEARCH("出演",$E24)))),"◆","")</f>
        <v/>
      </c>
      <c r="AR24" s="55" t="str">
        <f aca="false">IF(AND(AR$7=$I24,OR(ISNUMBER(SEARCH("採用",$E24)),ISNUMBER(SEARCH("総務",$E24)),ISNUMBER(SEARCH("工場長",$E24)),ISNUMBER(SEARCH("社長",$E24)),ISNUMBER(SEARCH("出演",$E24)))),"◆","")</f>
        <v/>
      </c>
      <c r="AS24" s="55" t="str">
        <f aca="false">IF(AND(AS$7=$I24,OR(ISNUMBER(SEARCH("採用",$E24)),ISNUMBER(SEARCH("総務",$E24)),ISNUMBER(SEARCH("工場長",$E24)),ISNUMBER(SEARCH("社長",$E24)),ISNUMBER(SEARCH("出演",$E24)))),"◆","")</f>
        <v/>
      </c>
      <c r="AT24" s="55" t="str">
        <f aca="false">IF(AND(AT$7=$I24,OR(ISNUMBER(SEARCH("採用",$E24)),ISNUMBER(SEARCH("総務",$E24)),ISNUMBER(SEARCH("工場長",$E24)),ISNUMBER(SEARCH("社長",$E24)),ISNUMBER(SEARCH("出演",$E24)))),"◆","")</f>
        <v/>
      </c>
      <c r="AU24" s="55" t="str">
        <f aca="false">IF(AND(AU$7=$I24,OR(ISNUMBER(SEARCH("採用",$E24)),ISNUMBER(SEARCH("総務",$E24)),ISNUMBER(SEARCH("工場長",$E24)),ISNUMBER(SEARCH("社長",$E24)),ISNUMBER(SEARCH("出演",$E24)))),"◆","")</f>
        <v/>
      </c>
      <c r="AV24" s="55" t="str">
        <f aca="false">IF(AND(AV$7=$I24,OR(ISNUMBER(SEARCH("採用",$E24)),ISNUMBER(SEARCH("総務",$E24)),ISNUMBER(SEARCH("工場長",$E24)),ISNUMBER(SEARCH("社長",$E24)),ISNUMBER(SEARCH("出演",$E24)))),"◆","")</f>
        <v/>
      </c>
      <c r="AW24" s="55" t="str">
        <f aca="false">IF(AND(AW$7=$I24,OR(ISNUMBER(SEARCH("採用",$E24)),ISNUMBER(SEARCH("総務",$E24)),ISNUMBER(SEARCH("工場長",$E24)),ISNUMBER(SEARCH("社長",$E24)),ISNUMBER(SEARCH("出演",$E24)))),"◆","")</f>
        <v/>
      </c>
      <c r="AX24" s="55" t="str">
        <f aca="false">IF(AND(AX$7=$I24,OR(ISNUMBER(SEARCH("採用",$E24)),ISNUMBER(SEARCH("総務",$E24)),ISNUMBER(SEARCH("工場長",$E24)),ISNUMBER(SEARCH("社長",$E24)),ISNUMBER(SEARCH("出演",$E24)))),"◆","")</f>
        <v/>
      </c>
      <c r="AY24" s="55" t="str">
        <f aca="false">IF(AND(AY$7=$I24,OR(ISNUMBER(SEARCH("採用",$E24)),ISNUMBER(SEARCH("総務",$E24)),ISNUMBER(SEARCH("工場長",$E24)),ISNUMBER(SEARCH("社長",$E24)),ISNUMBER(SEARCH("出演",$E24)))),"◆","")</f>
        <v/>
      </c>
      <c r="AZ24" s="55" t="str">
        <f aca="false">IF(AND(AZ$7=$I24,OR(ISNUMBER(SEARCH("採用",$E24)),ISNUMBER(SEARCH("総務",$E24)),ISNUMBER(SEARCH("工場長",$E24)),ISNUMBER(SEARCH("社長",$E24)),ISNUMBER(SEARCH("出演",$E24)))),"◆","")</f>
        <v/>
      </c>
      <c r="BA24" s="55" t="str">
        <f aca="false">IF(AND(BA$7=$I24,OR(ISNUMBER(SEARCH("採用",$E24)),ISNUMBER(SEARCH("総務",$E24)),ISNUMBER(SEARCH("工場長",$E24)),ISNUMBER(SEARCH("社長",$E24)),ISNUMBER(SEARCH("出演",$E24)))),"◆","")</f>
        <v/>
      </c>
      <c r="BB24" s="55" t="str">
        <f aca="false">IF(AND(BB$7=$I24,OR(ISNUMBER(SEARCH("採用",$E24)),ISNUMBER(SEARCH("総務",$E24)),ISNUMBER(SEARCH("工場長",$E24)),ISNUMBER(SEARCH("社長",$E24)),ISNUMBER(SEARCH("出演",$E24)))),"◆","")</f>
        <v/>
      </c>
      <c r="BC24" s="55" t="str">
        <f aca="false">IF(AND(BC$7=$I24,OR(ISNUMBER(SEARCH("採用",$E24)),ISNUMBER(SEARCH("総務",$E24)),ISNUMBER(SEARCH("工場長",$E24)),ISNUMBER(SEARCH("社長",$E24)),ISNUMBER(SEARCH("出演",$E24)))),"◆","")</f>
        <v/>
      </c>
      <c r="BD24" s="55" t="str">
        <f aca="false">IF(AND(BD$7=$I24,OR(ISNUMBER(SEARCH("採用",$E24)),ISNUMBER(SEARCH("総務",$E24)),ISNUMBER(SEARCH("工場長",$E24)),ISNUMBER(SEARCH("社長",$E24)),ISNUMBER(SEARCH("出演",$E24)))),"◆","")</f>
        <v/>
      </c>
      <c r="BE24" s="55" t="str">
        <f aca="false">IF(AND(BE$7=$I24,OR(ISNUMBER(SEARCH("採用",$E24)),ISNUMBER(SEARCH("総務",$E24)),ISNUMBER(SEARCH("工場長",$E24)),ISNUMBER(SEARCH("社長",$E24)),ISNUMBER(SEARCH("出演",$E24)))),"◆","")</f>
        <v/>
      </c>
      <c r="BF24" s="55" t="str">
        <f aca="false">IF(AND(BF$7=$I24,OR(ISNUMBER(SEARCH("採用",$E24)),ISNUMBER(SEARCH("総務",$E24)),ISNUMBER(SEARCH("工場長",$E24)),ISNUMBER(SEARCH("社長",$E24)),ISNUMBER(SEARCH("出演",$E24)))),"◆","")</f>
        <v/>
      </c>
      <c r="BG24" s="55" t="str">
        <f aca="false">IF(AND(BG$7=$I24,OR(ISNUMBER(SEARCH("採用",$E24)),ISNUMBER(SEARCH("総務",$E24)),ISNUMBER(SEARCH("工場長",$E24)),ISNUMBER(SEARCH("社長",$E24)),ISNUMBER(SEARCH("出演",$E24)))),"◆","")</f>
        <v/>
      </c>
      <c r="BH24" s="55" t="str">
        <f aca="false">IF(AND(BH$7=$I24,OR(ISNUMBER(SEARCH("採用",$E24)),ISNUMBER(SEARCH("総務",$E24)),ISNUMBER(SEARCH("工場長",$E24)),ISNUMBER(SEARCH("社長",$E24)),ISNUMBER(SEARCH("出演",$E24)))),"◆","")</f>
        <v/>
      </c>
      <c r="BI24" s="55" t="str">
        <f aca="false">IF(AND(BI$7=$I24,OR(ISNUMBER(SEARCH("採用",$E24)),ISNUMBER(SEARCH("総務",$E24)),ISNUMBER(SEARCH("工場長",$E24)),ISNUMBER(SEARCH("社長",$E24)),ISNUMBER(SEARCH("出演",$E24)))),"◆","")</f>
        <v/>
      </c>
      <c r="BJ24" s="55" t="str">
        <f aca="false">IF(AND(BJ$7=$I24,OR(ISNUMBER(SEARCH("採用",$E24)),ISNUMBER(SEARCH("総務",$E24)),ISNUMBER(SEARCH("工場長",$E24)),ISNUMBER(SEARCH("社長",$E24)),ISNUMBER(SEARCH("出演",$E24)))),"◆","")</f>
        <v/>
      </c>
      <c r="BK24" s="55" t="str">
        <f aca="false">IF(AND(BK$7=$I24,OR(ISNUMBER(SEARCH("採用",$E24)),ISNUMBER(SEARCH("総務",$E24)),ISNUMBER(SEARCH("工場長",$E24)),ISNUMBER(SEARCH("社長",$E24)),ISNUMBER(SEARCH("出演",$E24)))),"◆","")</f>
        <v/>
      </c>
      <c r="BL24" s="55" t="str">
        <f aca="false">IF(AND(BL$7=$I24,OR(ISNUMBER(SEARCH("採用",$E24)),ISNUMBER(SEARCH("総務",$E24)),ISNUMBER(SEARCH("工場長",$E24)),ISNUMBER(SEARCH("社長",$E24)),ISNUMBER(SEARCH("出演",$E24)))),"◆","")</f>
        <v/>
      </c>
      <c r="BM24" s="55" t="str">
        <f aca="false">IF(AND(BM$7=$I24,OR(ISNUMBER(SEARCH("採用",$E24)),ISNUMBER(SEARCH("総務",$E24)),ISNUMBER(SEARCH("工場長",$E24)),ISNUMBER(SEARCH("社長",$E24)),ISNUMBER(SEARCH("出演",$E24)))),"◆","")</f>
        <v/>
      </c>
      <c r="BN24" s="55" t="str">
        <f aca="false">IF(AND(BN$7=$I24,OR(ISNUMBER(SEARCH("採用",$E24)),ISNUMBER(SEARCH("総務",$E24)),ISNUMBER(SEARCH("工場長",$E24)),ISNUMBER(SEARCH("社長",$E24)),ISNUMBER(SEARCH("出演",$E24)))),"◆","")</f>
        <v/>
      </c>
      <c r="BO24" s="55" t="str">
        <f aca="false">IF(AND(BO$7=$I24,OR(ISNUMBER(SEARCH("採用",$E24)),ISNUMBER(SEARCH("総務",$E24)),ISNUMBER(SEARCH("工場長",$E24)),ISNUMBER(SEARCH("社長",$E24)),ISNUMBER(SEARCH("出演",$E24)))),"◆","")</f>
        <v/>
      </c>
      <c r="BP24" s="55" t="str">
        <f aca="false">IF(AND(BP$7=$I24,OR(ISNUMBER(SEARCH("採用",$E24)),ISNUMBER(SEARCH("総務",$E24)),ISNUMBER(SEARCH("工場長",$E24)),ISNUMBER(SEARCH("社長",$E24)),ISNUMBER(SEARCH("出演",$E24)))),"◆","")</f>
        <v/>
      </c>
      <c r="BQ24" s="55" t="str">
        <f aca="false">IF(AND(BQ$7=$I24,OR(ISNUMBER(SEARCH("採用",$E24)),ISNUMBER(SEARCH("総務",$E24)),ISNUMBER(SEARCH("工場長",$E24)),ISNUMBER(SEARCH("社長",$E24)),ISNUMBER(SEARCH("出演",$E24)))),"◆","")</f>
        <v/>
      </c>
      <c r="BR24" s="55" t="str">
        <f aca="false">IF(AND(BR$7=$I24,OR(ISNUMBER(SEARCH("採用",$E24)),ISNUMBER(SEARCH("総務",$E24)),ISNUMBER(SEARCH("工場長",$E24)),ISNUMBER(SEARCH("社長",$E24)),ISNUMBER(SEARCH("出演",$E24)))),"◆","")</f>
        <v/>
      </c>
      <c r="BS24" s="55" t="str">
        <f aca="false">IF(AND(BS$7=$I24,OR(ISNUMBER(SEARCH("採用",$E24)),ISNUMBER(SEARCH("総務",$E24)),ISNUMBER(SEARCH("工場長",$E24)),ISNUMBER(SEARCH("社長",$E24)),ISNUMBER(SEARCH("出演",$E24)))),"◆","")</f>
        <v/>
      </c>
      <c r="BT24" s="55" t="str">
        <f aca="false">IF(AND(BT$7=$I24,OR(ISNUMBER(SEARCH("採用",$E24)),ISNUMBER(SEARCH("総務",$E24)),ISNUMBER(SEARCH("工場長",$E24)),ISNUMBER(SEARCH("社長",$E24)),ISNUMBER(SEARCH("出演",$E24)))),"◆","")</f>
        <v/>
      </c>
      <c r="BU24" s="55" t="str">
        <f aca="false">IF(AND(BU$7=$I24,OR(ISNUMBER(SEARCH("採用",$E24)),ISNUMBER(SEARCH("総務",$E24)),ISNUMBER(SEARCH("工場長",$E24)),ISNUMBER(SEARCH("社長",$E24)),ISNUMBER(SEARCH("出演",$E24)))),"◆","")</f>
        <v/>
      </c>
      <c r="BV24" s="55" t="str">
        <f aca="false">IF(AND(BV$7=$I24,OR(ISNUMBER(SEARCH("採用",$E24)),ISNUMBER(SEARCH("総務",$E24)),ISNUMBER(SEARCH("工場長",$E24)),ISNUMBER(SEARCH("社長",$E24)),ISNUMBER(SEARCH("出演",$E24)))),"◆","")</f>
        <v/>
      </c>
      <c r="BW24" s="55" t="str">
        <f aca="false">IF(AND(BW$7=$I24,OR(ISNUMBER(SEARCH("採用",$E24)),ISNUMBER(SEARCH("総務",$E24)),ISNUMBER(SEARCH("工場長",$E24)),ISNUMBER(SEARCH("社長",$E24)),ISNUMBER(SEARCH("出演",$E24)))),"◆","")</f>
        <v/>
      </c>
      <c r="BX24" s="55" t="str">
        <f aca="false">IF(AND(BX$7=$I24,OR(ISNUMBER(SEARCH("採用",$E24)),ISNUMBER(SEARCH("総務",$E24)),ISNUMBER(SEARCH("工場長",$E24)),ISNUMBER(SEARCH("社長",$E24)),ISNUMBER(SEARCH("出演",$E24)))),"◆","")</f>
        <v/>
      </c>
      <c r="BY24" s="55" t="str">
        <f aca="false">IF(AND(BY$7=$I24,OR(ISNUMBER(SEARCH("採用",$E24)),ISNUMBER(SEARCH("総務",$E24)),ISNUMBER(SEARCH("工場長",$E24)),ISNUMBER(SEARCH("社長",$E24)),ISNUMBER(SEARCH("出演",$E24)))),"◆","")</f>
        <v/>
      </c>
      <c r="BZ24" s="55" t="str">
        <f aca="false">IF(AND(BZ$7=$I24,OR(ISNUMBER(SEARCH("採用",$E24)),ISNUMBER(SEARCH("総務",$E24)),ISNUMBER(SEARCH("工場長",$E24)),ISNUMBER(SEARCH("社長",$E24)),ISNUMBER(SEARCH("出演",$E24)))),"◆","")</f>
        <v/>
      </c>
      <c r="CA24" s="55" t="str">
        <f aca="false">IF(AND(CA$7=$I24,OR(ISNUMBER(SEARCH("採用",$E24)),ISNUMBER(SEARCH("総務",$E24)),ISNUMBER(SEARCH("工場長",$E24)),ISNUMBER(SEARCH("社長",$E24)),ISNUMBER(SEARCH("出演",$E24)))),"◆","")</f>
        <v/>
      </c>
      <c r="CB24" s="55" t="str">
        <f aca="false">IF(AND(CB$7=$I24,OR(ISNUMBER(SEARCH("採用",$E24)),ISNUMBER(SEARCH("総務",$E24)),ISNUMBER(SEARCH("工場長",$E24)),ISNUMBER(SEARCH("社長",$E24)),ISNUMBER(SEARCH("出演",$E24)))),"◆","")</f>
        <v/>
      </c>
      <c r="CC24" s="55" t="str">
        <f aca="false">IF(AND(CC$7=$I24,OR(ISNUMBER(SEARCH("採用",$E24)),ISNUMBER(SEARCH("総務",$E24)),ISNUMBER(SEARCH("工場長",$E24)),ISNUMBER(SEARCH("社長",$E24)),ISNUMBER(SEARCH("出演",$E24)))),"◆","")</f>
        <v/>
      </c>
      <c r="CD24" s="55" t="str">
        <f aca="false">IF(AND(CD$7=$I24,OR(ISNUMBER(SEARCH("採用",$E24)),ISNUMBER(SEARCH("総務",$E24)),ISNUMBER(SEARCH("工場長",$E24)),ISNUMBER(SEARCH("社長",$E24)),ISNUMBER(SEARCH("出演",$E24)))),"◆","")</f>
        <v/>
      </c>
      <c r="CE24" s="55" t="str">
        <f aca="false">IF(AND(CE$7=$I24,OR(ISNUMBER(SEARCH("採用",$E24)),ISNUMBER(SEARCH("総務",$E24)),ISNUMBER(SEARCH("工場長",$E24)),ISNUMBER(SEARCH("社長",$E24)),ISNUMBER(SEARCH("出演",$E24)))),"◆","")</f>
        <v/>
      </c>
      <c r="CF24" s="55" t="str">
        <f aca="false">IF(AND(CF$7=$I24,OR(ISNUMBER(SEARCH("採用",$E24)),ISNUMBER(SEARCH("総務",$E24)),ISNUMBER(SEARCH("工場長",$E24)),ISNUMBER(SEARCH("社長",$E24)),ISNUMBER(SEARCH("出演",$E24)))),"◆","")</f>
        <v/>
      </c>
      <c r="CG24" s="55" t="str">
        <f aca="false">IF(AND(CG$7=$I24,OR(ISNUMBER(SEARCH("採用",$E24)),ISNUMBER(SEARCH("総務",$E24)),ISNUMBER(SEARCH("工場長",$E24)),ISNUMBER(SEARCH("社長",$E24)),ISNUMBER(SEARCH("出演",$E24)))),"◆","")</f>
        <v/>
      </c>
      <c r="CH24" s="55" t="str">
        <f aca="false">IF(AND(CH$7=$I24,OR(ISNUMBER(SEARCH("採用",$E24)),ISNUMBER(SEARCH("総務",$E24)),ISNUMBER(SEARCH("工場長",$E24)),ISNUMBER(SEARCH("社長",$E24)),ISNUMBER(SEARCH("出演",$E24)))),"◆","")</f>
        <v/>
      </c>
      <c r="CI24" s="55" t="str">
        <f aca="false">IF(AND(CI$7=$I24,OR(ISNUMBER(SEARCH("採用",$E24)),ISNUMBER(SEARCH("総務",$E24)),ISNUMBER(SEARCH("工場長",$E24)),ISNUMBER(SEARCH("社長",$E24)),ISNUMBER(SEARCH("出演",$E24)))),"◆","")</f>
        <v/>
      </c>
      <c r="CJ24" s="55" t="str">
        <f aca="false">IF(AND(CJ$7=$I24,OR(ISNUMBER(SEARCH("採用",$E24)),ISNUMBER(SEARCH("総務",$E24)),ISNUMBER(SEARCH("工場長",$E24)),ISNUMBER(SEARCH("社長",$E24)),ISNUMBER(SEARCH("出演",$E24)))),"◆","")</f>
        <v/>
      </c>
      <c r="CK24" s="55" t="str">
        <f aca="false">IF(AND(CK$7=$I24,OR(ISNUMBER(SEARCH("採用",$E24)),ISNUMBER(SEARCH("総務",$E24)),ISNUMBER(SEARCH("工場長",$E24)),ISNUMBER(SEARCH("社長",$E24)),ISNUMBER(SEARCH("出演",$E24)))),"◆","")</f>
        <v/>
      </c>
      <c r="CL24" s="55" t="str">
        <f aca="false">IF(AND(CL$7=$I24,OR(ISNUMBER(SEARCH("採用",$E24)),ISNUMBER(SEARCH("総務",$E24)),ISNUMBER(SEARCH("工場長",$E24)),ISNUMBER(SEARCH("社長",$E24)),ISNUMBER(SEARCH("出演",$E24)))),"◆","")</f>
        <v/>
      </c>
      <c r="CM24" s="55" t="str">
        <f aca="false">IF(AND(CM$7=$I24,OR(ISNUMBER(SEARCH("採用",$E24)),ISNUMBER(SEARCH("総務",$E24)),ISNUMBER(SEARCH("工場長",$E24)),ISNUMBER(SEARCH("社長",$E24)),ISNUMBER(SEARCH("出演",$E24)))),"◆","")</f>
        <v/>
      </c>
      <c r="CN24" s="55" t="str">
        <f aca="false">IF(AND(CN$7=$I24,OR(ISNUMBER(SEARCH("採用",$E24)),ISNUMBER(SEARCH("総務",$E24)),ISNUMBER(SEARCH("工場長",$E24)),ISNUMBER(SEARCH("社長",$E24)),ISNUMBER(SEARCH("出演",$E24)))),"◆","")</f>
        <v/>
      </c>
      <c r="CO24" s="55" t="str">
        <f aca="false">IF(AND(CO$7=$I24,OR(ISNUMBER(SEARCH("採用",$E24)),ISNUMBER(SEARCH("総務",$E24)),ISNUMBER(SEARCH("工場長",$E24)),ISNUMBER(SEARCH("社長",$E24)),ISNUMBER(SEARCH("出演",$E24)))),"◆","")</f>
        <v/>
      </c>
      <c r="CP24" s="55" t="str">
        <f aca="false">IF(AND(CP$7=$I24,OR(ISNUMBER(SEARCH("採用",$E24)),ISNUMBER(SEARCH("総務",$E24)),ISNUMBER(SEARCH("工場長",$E24)),ISNUMBER(SEARCH("社長",$E24)),ISNUMBER(SEARCH("出演",$E24)))),"◆","")</f>
        <v/>
      </c>
    </row>
    <row r="25" customFormat="false" ht="25.5" hidden="false" customHeight="true" outlineLevel="0" collapsed="false">
      <c r="A25" s="48" t="str">
        <f aca="false">制作工程表!A20</f>
        <v>T12</v>
      </c>
      <c r="B25" s="49" t="str">
        <f aca="false">制作工程表!B20</f>
        <v>原稿確認</v>
      </c>
      <c r="C25" s="50" t="str">
        <f aca="false">制作工程表!C20</f>
        <v>原稿・写真のご確認</v>
      </c>
      <c r="D25" s="51" t="str">
        <f aca="false">制作工程表!D20</f>
        <v>採用担当</v>
      </c>
      <c r="E25" s="51" t="str">
        <f aca="false">制作工程表!E20</f>
        <v>出演者・工場長</v>
      </c>
      <c r="F25" s="52" t="str">
        <f aca="false">IF(制作工程表!B20="取材撮影","撮影",IF(OR(制作工程表!D20="採用担当",制作工程表!D20="総務窓口",制作工程表!D20="工場長"),"企業","制作"))</f>
        <v>企業</v>
      </c>
      <c r="G25" s="53" t="n">
        <f aca="false">制作工程表!G20</f>
        <v>46332</v>
      </c>
      <c r="H25" s="53" t="n">
        <f aca="false">制作工程表!H20</f>
        <v>46338</v>
      </c>
      <c r="I25" s="54" t="n">
        <f aca="false">制作工程表!I20</f>
        <v>46338</v>
      </c>
      <c r="J25" s="49" t="str">
        <f aca="false">制作工程表!K20</f>
        <v>未着手</v>
      </c>
      <c r="K25" s="55" t="str">
        <f aca="false">IF(AND(K$7=$I25,OR(ISNUMBER(SEARCH("採用",$E25)),ISNUMBER(SEARCH("総務",$E25)),ISNUMBER(SEARCH("工場長",$E25)),ISNUMBER(SEARCH("社長",$E25)),ISNUMBER(SEARCH("出演",$E25)))),"◆","")</f>
        <v/>
      </c>
      <c r="L25" s="55" t="str">
        <f aca="false">IF(AND(L$7=$I25,OR(ISNUMBER(SEARCH("採用",$E25)),ISNUMBER(SEARCH("総務",$E25)),ISNUMBER(SEARCH("工場長",$E25)),ISNUMBER(SEARCH("社長",$E25)),ISNUMBER(SEARCH("出演",$E25)))),"◆","")</f>
        <v/>
      </c>
      <c r="M25" s="55" t="str">
        <f aca="false">IF(AND(M$7=$I25,OR(ISNUMBER(SEARCH("採用",$E25)),ISNUMBER(SEARCH("総務",$E25)),ISNUMBER(SEARCH("工場長",$E25)),ISNUMBER(SEARCH("社長",$E25)),ISNUMBER(SEARCH("出演",$E25)))),"◆","")</f>
        <v/>
      </c>
      <c r="N25" s="55" t="str">
        <f aca="false">IF(AND(N$7=$I25,OR(ISNUMBER(SEARCH("採用",$E25)),ISNUMBER(SEARCH("総務",$E25)),ISNUMBER(SEARCH("工場長",$E25)),ISNUMBER(SEARCH("社長",$E25)),ISNUMBER(SEARCH("出演",$E25)))),"◆","")</f>
        <v/>
      </c>
      <c r="O25" s="55" t="str">
        <f aca="false">IF(AND(O$7=$I25,OR(ISNUMBER(SEARCH("採用",$E25)),ISNUMBER(SEARCH("総務",$E25)),ISNUMBER(SEARCH("工場長",$E25)),ISNUMBER(SEARCH("社長",$E25)),ISNUMBER(SEARCH("出演",$E25)))),"◆","")</f>
        <v/>
      </c>
      <c r="P25" s="55" t="str">
        <f aca="false">IF(AND(P$7=$I25,OR(ISNUMBER(SEARCH("採用",$E25)),ISNUMBER(SEARCH("総務",$E25)),ISNUMBER(SEARCH("工場長",$E25)),ISNUMBER(SEARCH("社長",$E25)),ISNUMBER(SEARCH("出演",$E25)))),"◆","")</f>
        <v/>
      </c>
      <c r="Q25" s="55" t="str">
        <f aca="false">IF(AND(Q$7=$I25,OR(ISNUMBER(SEARCH("採用",$E25)),ISNUMBER(SEARCH("総務",$E25)),ISNUMBER(SEARCH("工場長",$E25)),ISNUMBER(SEARCH("社長",$E25)),ISNUMBER(SEARCH("出演",$E25)))),"◆","")</f>
        <v/>
      </c>
      <c r="R25" s="55" t="str">
        <f aca="false">IF(AND(R$7=$I25,OR(ISNUMBER(SEARCH("採用",$E25)),ISNUMBER(SEARCH("総務",$E25)),ISNUMBER(SEARCH("工場長",$E25)),ISNUMBER(SEARCH("社長",$E25)),ISNUMBER(SEARCH("出演",$E25)))),"◆","")</f>
        <v/>
      </c>
      <c r="S25" s="55" t="str">
        <f aca="false">IF(AND(S$7=$I25,OR(ISNUMBER(SEARCH("採用",$E25)),ISNUMBER(SEARCH("総務",$E25)),ISNUMBER(SEARCH("工場長",$E25)),ISNUMBER(SEARCH("社長",$E25)),ISNUMBER(SEARCH("出演",$E25)))),"◆","")</f>
        <v/>
      </c>
      <c r="T25" s="55" t="str">
        <f aca="false">IF(AND(T$7=$I25,OR(ISNUMBER(SEARCH("採用",$E25)),ISNUMBER(SEARCH("総務",$E25)),ISNUMBER(SEARCH("工場長",$E25)),ISNUMBER(SEARCH("社長",$E25)),ISNUMBER(SEARCH("出演",$E25)))),"◆","")</f>
        <v/>
      </c>
      <c r="U25" s="55" t="str">
        <f aca="false">IF(AND(U$7=$I25,OR(ISNUMBER(SEARCH("採用",$E25)),ISNUMBER(SEARCH("総務",$E25)),ISNUMBER(SEARCH("工場長",$E25)),ISNUMBER(SEARCH("社長",$E25)),ISNUMBER(SEARCH("出演",$E25)))),"◆","")</f>
        <v/>
      </c>
      <c r="V25" s="55" t="str">
        <f aca="false">IF(AND(V$7=$I25,OR(ISNUMBER(SEARCH("採用",$E25)),ISNUMBER(SEARCH("総務",$E25)),ISNUMBER(SEARCH("工場長",$E25)),ISNUMBER(SEARCH("社長",$E25)),ISNUMBER(SEARCH("出演",$E25)))),"◆","")</f>
        <v/>
      </c>
      <c r="W25" s="55" t="str">
        <f aca="false">IF(AND(W$7=$I25,OR(ISNUMBER(SEARCH("採用",$E25)),ISNUMBER(SEARCH("総務",$E25)),ISNUMBER(SEARCH("工場長",$E25)),ISNUMBER(SEARCH("社長",$E25)),ISNUMBER(SEARCH("出演",$E25)))),"◆","")</f>
        <v/>
      </c>
      <c r="X25" s="55" t="str">
        <f aca="false">IF(AND(X$7=$I25,OR(ISNUMBER(SEARCH("採用",$E25)),ISNUMBER(SEARCH("総務",$E25)),ISNUMBER(SEARCH("工場長",$E25)),ISNUMBER(SEARCH("社長",$E25)),ISNUMBER(SEARCH("出演",$E25)))),"◆","")</f>
        <v/>
      </c>
      <c r="Y25" s="55" t="str">
        <f aca="false">IF(AND(Y$7=$I25,OR(ISNUMBER(SEARCH("採用",$E25)),ISNUMBER(SEARCH("総務",$E25)),ISNUMBER(SEARCH("工場長",$E25)),ISNUMBER(SEARCH("社長",$E25)),ISNUMBER(SEARCH("出演",$E25)))),"◆","")</f>
        <v/>
      </c>
      <c r="Z25" s="55" t="str">
        <f aca="false">IF(AND(Z$7=$I25,OR(ISNUMBER(SEARCH("採用",$E25)),ISNUMBER(SEARCH("総務",$E25)),ISNUMBER(SEARCH("工場長",$E25)),ISNUMBER(SEARCH("社長",$E25)),ISNUMBER(SEARCH("出演",$E25)))),"◆","")</f>
        <v/>
      </c>
      <c r="AA25" s="55" t="str">
        <f aca="false">IF(AND(AA$7=$I25,OR(ISNUMBER(SEARCH("採用",$E25)),ISNUMBER(SEARCH("総務",$E25)),ISNUMBER(SEARCH("工場長",$E25)),ISNUMBER(SEARCH("社長",$E25)),ISNUMBER(SEARCH("出演",$E25)))),"◆","")</f>
        <v/>
      </c>
      <c r="AB25" s="55" t="str">
        <f aca="false">IF(AND(AB$7=$I25,OR(ISNUMBER(SEARCH("採用",$E25)),ISNUMBER(SEARCH("総務",$E25)),ISNUMBER(SEARCH("工場長",$E25)),ISNUMBER(SEARCH("社長",$E25)),ISNUMBER(SEARCH("出演",$E25)))),"◆","")</f>
        <v/>
      </c>
      <c r="AC25" s="55" t="str">
        <f aca="false">IF(AND(AC$7=$I25,OR(ISNUMBER(SEARCH("採用",$E25)),ISNUMBER(SEARCH("総務",$E25)),ISNUMBER(SEARCH("工場長",$E25)),ISNUMBER(SEARCH("社長",$E25)),ISNUMBER(SEARCH("出演",$E25)))),"◆","")</f>
        <v/>
      </c>
      <c r="AD25" s="55" t="str">
        <f aca="false">IF(AND(AD$7=$I25,OR(ISNUMBER(SEARCH("採用",$E25)),ISNUMBER(SEARCH("総務",$E25)),ISNUMBER(SEARCH("工場長",$E25)),ISNUMBER(SEARCH("社長",$E25)),ISNUMBER(SEARCH("出演",$E25)))),"◆","")</f>
        <v/>
      </c>
      <c r="AE25" s="55" t="str">
        <f aca="false">IF(AND(AE$7=$I25,OR(ISNUMBER(SEARCH("採用",$E25)),ISNUMBER(SEARCH("総務",$E25)),ISNUMBER(SEARCH("工場長",$E25)),ISNUMBER(SEARCH("社長",$E25)),ISNUMBER(SEARCH("出演",$E25)))),"◆","")</f>
        <v/>
      </c>
      <c r="AF25" s="55" t="str">
        <f aca="false">IF(AND(AF$7=$I25,OR(ISNUMBER(SEARCH("採用",$E25)),ISNUMBER(SEARCH("総務",$E25)),ISNUMBER(SEARCH("工場長",$E25)),ISNUMBER(SEARCH("社長",$E25)),ISNUMBER(SEARCH("出演",$E25)))),"◆","")</f>
        <v/>
      </c>
      <c r="AG25" s="55" t="str">
        <f aca="false">IF(AND(AG$7=$I25,OR(ISNUMBER(SEARCH("採用",$E25)),ISNUMBER(SEARCH("総務",$E25)),ISNUMBER(SEARCH("工場長",$E25)),ISNUMBER(SEARCH("社長",$E25)),ISNUMBER(SEARCH("出演",$E25)))),"◆","")</f>
        <v/>
      </c>
      <c r="AH25" s="55" t="str">
        <f aca="false">IF(AND(AH$7=$I25,OR(ISNUMBER(SEARCH("採用",$E25)),ISNUMBER(SEARCH("総務",$E25)),ISNUMBER(SEARCH("工場長",$E25)),ISNUMBER(SEARCH("社長",$E25)),ISNUMBER(SEARCH("出演",$E25)))),"◆","")</f>
        <v/>
      </c>
      <c r="AI25" s="55" t="str">
        <f aca="false">IF(AND(AI$7=$I25,OR(ISNUMBER(SEARCH("採用",$E25)),ISNUMBER(SEARCH("総務",$E25)),ISNUMBER(SEARCH("工場長",$E25)),ISNUMBER(SEARCH("社長",$E25)),ISNUMBER(SEARCH("出演",$E25)))),"◆","")</f>
        <v/>
      </c>
      <c r="AJ25" s="55" t="str">
        <f aca="false">IF(AND(AJ$7=$I25,OR(ISNUMBER(SEARCH("採用",$E25)),ISNUMBER(SEARCH("総務",$E25)),ISNUMBER(SEARCH("工場長",$E25)),ISNUMBER(SEARCH("社長",$E25)),ISNUMBER(SEARCH("出演",$E25)))),"◆","")</f>
        <v/>
      </c>
      <c r="AK25" s="55" t="str">
        <f aca="false">IF(AND(AK$7=$I25,OR(ISNUMBER(SEARCH("採用",$E25)),ISNUMBER(SEARCH("総務",$E25)),ISNUMBER(SEARCH("工場長",$E25)),ISNUMBER(SEARCH("社長",$E25)),ISNUMBER(SEARCH("出演",$E25)))),"◆","")</f>
        <v/>
      </c>
      <c r="AL25" s="55" t="str">
        <f aca="false">IF(AND(AL$7=$I25,OR(ISNUMBER(SEARCH("採用",$E25)),ISNUMBER(SEARCH("総務",$E25)),ISNUMBER(SEARCH("工場長",$E25)),ISNUMBER(SEARCH("社長",$E25)),ISNUMBER(SEARCH("出演",$E25)))),"◆","")</f>
        <v/>
      </c>
      <c r="AM25" s="55" t="str">
        <f aca="false">IF(AND(AM$7=$I25,OR(ISNUMBER(SEARCH("採用",$E25)),ISNUMBER(SEARCH("総務",$E25)),ISNUMBER(SEARCH("工場長",$E25)),ISNUMBER(SEARCH("社長",$E25)),ISNUMBER(SEARCH("出演",$E25)))),"◆","")</f>
        <v/>
      </c>
      <c r="AN25" s="55" t="str">
        <f aca="false">IF(AND(AN$7=$I25,OR(ISNUMBER(SEARCH("採用",$E25)),ISNUMBER(SEARCH("総務",$E25)),ISNUMBER(SEARCH("工場長",$E25)),ISNUMBER(SEARCH("社長",$E25)),ISNUMBER(SEARCH("出演",$E25)))),"◆","")</f>
        <v/>
      </c>
      <c r="AO25" s="55" t="str">
        <f aca="false">IF(AND(AO$7=$I25,OR(ISNUMBER(SEARCH("採用",$E25)),ISNUMBER(SEARCH("総務",$E25)),ISNUMBER(SEARCH("工場長",$E25)),ISNUMBER(SEARCH("社長",$E25)),ISNUMBER(SEARCH("出演",$E25)))),"◆","")</f>
        <v/>
      </c>
      <c r="AP25" s="55" t="str">
        <f aca="false">IF(AND(AP$7=$I25,OR(ISNUMBER(SEARCH("採用",$E25)),ISNUMBER(SEARCH("総務",$E25)),ISNUMBER(SEARCH("工場長",$E25)),ISNUMBER(SEARCH("社長",$E25)),ISNUMBER(SEARCH("出演",$E25)))),"◆","")</f>
        <v/>
      </c>
      <c r="AQ25" s="55" t="str">
        <f aca="false">IF(AND(AQ$7=$I25,OR(ISNUMBER(SEARCH("採用",$E25)),ISNUMBER(SEARCH("総務",$E25)),ISNUMBER(SEARCH("工場長",$E25)),ISNUMBER(SEARCH("社長",$E25)),ISNUMBER(SEARCH("出演",$E25)))),"◆","")</f>
        <v/>
      </c>
      <c r="AR25" s="55" t="str">
        <f aca="false">IF(AND(AR$7=$I25,OR(ISNUMBER(SEARCH("採用",$E25)),ISNUMBER(SEARCH("総務",$E25)),ISNUMBER(SEARCH("工場長",$E25)),ISNUMBER(SEARCH("社長",$E25)),ISNUMBER(SEARCH("出演",$E25)))),"◆","")</f>
        <v/>
      </c>
      <c r="AS25" s="55" t="str">
        <f aca="false">IF(AND(AS$7=$I25,OR(ISNUMBER(SEARCH("採用",$E25)),ISNUMBER(SEARCH("総務",$E25)),ISNUMBER(SEARCH("工場長",$E25)),ISNUMBER(SEARCH("社長",$E25)),ISNUMBER(SEARCH("出演",$E25)))),"◆","")</f>
        <v/>
      </c>
      <c r="AT25" s="55" t="str">
        <f aca="false">IF(AND(AT$7=$I25,OR(ISNUMBER(SEARCH("採用",$E25)),ISNUMBER(SEARCH("総務",$E25)),ISNUMBER(SEARCH("工場長",$E25)),ISNUMBER(SEARCH("社長",$E25)),ISNUMBER(SEARCH("出演",$E25)))),"◆","")</f>
        <v/>
      </c>
      <c r="AU25" s="55" t="str">
        <f aca="false">IF(AND(AU$7=$I25,OR(ISNUMBER(SEARCH("採用",$E25)),ISNUMBER(SEARCH("総務",$E25)),ISNUMBER(SEARCH("工場長",$E25)),ISNUMBER(SEARCH("社長",$E25)),ISNUMBER(SEARCH("出演",$E25)))),"◆","")</f>
        <v/>
      </c>
      <c r="AV25" s="55" t="str">
        <f aca="false">IF(AND(AV$7=$I25,OR(ISNUMBER(SEARCH("採用",$E25)),ISNUMBER(SEARCH("総務",$E25)),ISNUMBER(SEARCH("工場長",$E25)),ISNUMBER(SEARCH("社長",$E25)),ISNUMBER(SEARCH("出演",$E25)))),"◆","")</f>
        <v/>
      </c>
      <c r="AW25" s="55" t="str">
        <f aca="false">IF(AND(AW$7=$I25,OR(ISNUMBER(SEARCH("採用",$E25)),ISNUMBER(SEARCH("総務",$E25)),ISNUMBER(SEARCH("工場長",$E25)),ISNUMBER(SEARCH("社長",$E25)),ISNUMBER(SEARCH("出演",$E25)))),"◆","")</f>
        <v>◆</v>
      </c>
      <c r="AX25" s="55" t="str">
        <f aca="false">IF(AND(AX$7=$I25,OR(ISNUMBER(SEARCH("採用",$E25)),ISNUMBER(SEARCH("総務",$E25)),ISNUMBER(SEARCH("工場長",$E25)),ISNUMBER(SEARCH("社長",$E25)),ISNUMBER(SEARCH("出演",$E25)))),"◆","")</f>
        <v/>
      </c>
      <c r="AY25" s="55" t="str">
        <f aca="false">IF(AND(AY$7=$I25,OR(ISNUMBER(SEARCH("採用",$E25)),ISNUMBER(SEARCH("総務",$E25)),ISNUMBER(SEARCH("工場長",$E25)),ISNUMBER(SEARCH("社長",$E25)),ISNUMBER(SEARCH("出演",$E25)))),"◆","")</f>
        <v/>
      </c>
      <c r="AZ25" s="55" t="str">
        <f aca="false">IF(AND(AZ$7=$I25,OR(ISNUMBER(SEARCH("採用",$E25)),ISNUMBER(SEARCH("総務",$E25)),ISNUMBER(SEARCH("工場長",$E25)),ISNUMBER(SEARCH("社長",$E25)),ISNUMBER(SEARCH("出演",$E25)))),"◆","")</f>
        <v/>
      </c>
      <c r="BA25" s="55" t="str">
        <f aca="false">IF(AND(BA$7=$I25,OR(ISNUMBER(SEARCH("採用",$E25)),ISNUMBER(SEARCH("総務",$E25)),ISNUMBER(SEARCH("工場長",$E25)),ISNUMBER(SEARCH("社長",$E25)),ISNUMBER(SEARCH("出演",$E25)))),"◆","")</f>
        <v/>
      </c>
      <c r="BB25" s="55" t="str">
        <f aca="false">IF(AND(BB$7=$I25,OR(ISNUMBER(SEARCH("採用",$E25)),ISNUMBER(SEARCH("総務",$E25)),ISNUMBER(SEARCH("工場長",$E25)),ISNUMBER(SEARCH("社長",$E25)),ISNUMBER(SEARCH("出演",$E25)))),"◆","")</f>
        <v/>
      </c>
      <c r="BC25" s="55" t="str">
        <f aca="false">IF(AND(BC$7=$I25,OR(ISNUMBER(SEARCH("採用",$E25)),ISNUMBER(SEARCH("総務",$E25)),ISNUMBER(SEARCH("工場長",$E25)),ISNUMBER(SEARCH("社長",$E25)),ISNUMBER(SEARCH("出演",$E25)))),"◆","")</f>
        <v/>
      </c>
      <c r="BD25" s="55" t="str">
        <f aca="false">IF(AND(BD$7=$I25,OR(ISNUMBER(SEARCH("採用",$E25)),ISNUMBER(SEARCH("総務",$E25)),ISNUMBER(SEARCH("工場長",$E25)),ISNUMBER(SEARCH("社長",$E25)),ISNUMBER(SEARCH("出演",$E25)))),"◆","")</f>
        <v/>
      </c>
      <c r="BE25" s="55" t="str">
        <f aca="false">IF(AND(BE$7=$I25,OR(ISNUMBER(SEARCH("採用",$E25)),ISNUMBER(SEARCH("総務",$E25)),ISNUMBER(SEARCH("工場長",$E25)),ISNUMBER(SEARCH("社長",$E25)),ISNUMBER(SEARCH("出演",$E25)))),"◆","")</f>
        <v/>
      </c>
      <c r="BF25" s="55" t="str">
        <f aca="false">IF(AND(BF$7=$I25,OR(ISNUMBER(SEARCH("採用",$E25)),ISNUMBER(SEARCH("総務",$E25)),ISNUMBER(SEARCH("工場長",$E25)),ISNUMBER(SEARCH("社長",$E25)),ISNUMBER(SEARCH("出演",$E25)))),"◆","")</f>
        <v/>
      </c>
      <c r="BG25" s="55" t="str">
        <f aca="false">IF(AND(BG$7=$I25,OR(ISNUMBER(SEARCH("採用",$E25)),ISNUMBER(SEARCH("総務",$E25)),ISNUMBER(SEARCH("工場長",$E25)),ISNUMBER(SEARCH("社長",$E25)),ISNUMBER(SEARCH("出演",$E25)))),"◆","")</f>
        <v/>
      </c>
      <c r="BH25" s="55" t="str">
        <f aca="false">IF(AND(BH$7=$I25,OR(ISNUMBER(SEARCH("採用",$E25)),ISNUMBER(SEARCH("総務",$E25)),ISNUMBER(SEARCH("工場長",$E25)),ISNUMBER(SEARCH("社長",$E25)),ISNUMBER(SEARCH("出演",$E25)))),"◆","")</f>
        <v/>
      </c>
      <c r="BI25" s="55" t="str">
        <f aca="false">IF(AND(BI$7=$I25,OR(ISNUMBER(SEARCH("採用",$E25)),ISNUMBER(SEARCH("総務",$E25)),ISNUMBER(SEARCH("工場長",$E25)),ISNUMBER(SEARCH("社長",$E25)),ISNUMBER(SEARCH("出演",$E25)))),"◆","")</f>
        <v/>
      </c>
      <c r="BJ25" s="55" t="str">
        <f aca="false">IF(AND(BJ$7=$I25,OR(ISNUMBER(SEARCH("採用",$E25)),ISNUMBER(SEARCH("総務",$E25)),ISNUMBER(SEARCH("工場長",$E25)),ISNUMBER(SEARCH("社長",$E25)),ISNUMBER(SEARCH("出演",$E25)))),"◆","")</f>
        <v/>
      </c>
      <c r="BK25" s="55" t="str">
        <f aca="false">IF(AND(BK$7=$I25,OR(ISNUMBER(SEARCH("採用",$E25)),ISNUMBER(SEARCH("総務",$E25)),ISNUMBER(SEARCH("工場長",$E25)),ISNUMBER(SEARCH("社長",$E25)),ISNUMBER(SEARCH("出演",$E25)))),"◆","")</f>
        <v/>
      </c>
      <c r="BL25" s="55" t="str">
        <f aca="false">IF(AND(BL$7=$I25,OR(ISNUMBER(SEARCH("採用",$E25)),ISNUMBER(SEARCH("総務",$E25)),ISNUMBER(SEARCH("工場長",$E25)),ISNUMBER(SEARCH("社長",$E25)),ISNUMBER(SEARCH("出演",$E25)))),"◆","")</f>
        <v/>
      </c>
      <c r="BM25" s="55" t="str">
        <f aca="false">IF(AND(BM$7=$I25,OR(ISNUMBER(SEARCH("採用",$E25)),ISNUMBER(SEARCH("総務",$E25)),ISNUMBER(SEARCH("工場長",$E25)),ISNUMBER(SEARCH("社長",$E25)),ISNUMBER(SEARCH("出演",$E25)))),"◆","")</f>
        <v/>
      </c>
      <c r="BN25" s="55" t="str">
        <f aca="false">IF(AND(BN$7=$I25,OR(ISNUMBER(SEARCH("採用",$E25)),ISNUMBER(SEARCH("総務",$E25)),ISNUMBER(SEARCH("工場長",$E25)),ISNUMBER(SEARCH("社長",$E25)),ISNUMBER(SEARCH("出演",$E25)))),"◆","")</f>
        <v/>
      </c>
      <c r="BO25" s="55" t="str">
        <f aca="false">IF(AND(BO$7=$I25,OR(ISNUMBER(SEARCH("採用",$E25)),ISNUMBER(SEARCH("総務",$E25)),ISNUMBER(SEARCH("工場長",$E25)),ISNUMBER(SEARCH("社長",$E25)),ISNUMBER(SEARCH("出演",$E25)))),"◆","")</f>
        <v/>
      </c>
      <c r="BP25" s="55" t="str">
        <f aca="false">IF(AND(BP$7=$I25,OR(ISNUMBER(SEARCH("採用",$E25)),ISNUMBER(SEARCH("総務",$E25)),ISNUMBER(SEARCH("工場長",$E25)),ISNUMBER(SEARCH("社長",$E25)),ISNUMBER(SEARCH("出演",$E25)))),"◆","")</f>
        <v/>
      </c>
      <c r="BQ25" s="55" t="str">
        <f aca="false">IF(AND(BQ$7=$I25,OR(ISNUMBER(SEARCH("採用",$E25)),ISNUMBER(SEARCH("総務",$E25)),ISNUMBER(SEARCH("工場長",$E25)),ISNUMBER(SEARCH("社長",$E25)),ISNUMBER(SEARCH("出演",$E25)))),"◆","")</f>
        <v/>
      </c>
      <c r="BR25" s="55" t="str">
        <f aca="false">IF(AND(BR$7=$I25,OR(ISNUMBER(SEARCH("採用",$E25)),ISNUMBER(SEARCH("総務",$E25)),ISNUMBER(SEARCH("工場長",$E25)),ISNUMBER(SEARCH("社長",$E25)),ISNUMBER(SEARCH("出演",$E25)))),"◆","")</f>
        <v/>
      </c>
      <c r="BS25" s="55" t="str">
        <f aca="false">IF(AND(BS$7=$I25,OR(ISNUMBER(SEARCH("採用",$E25)),ISNUMBER(SEARCH("総務",$E25)),ISNUMBER(SEARCH("工場長",$E25)),ISNUMBER(SEARCH("社長",$E25)),ISNUMBER(SEARCH("出演",$E25)))),"◆","")</f>
        <v/>
      </c>
      <c r="BT25" s="55" t="str">
        <f aca="false">IF(AND(BT$7=$I25,OR(ISNUMBER(SEARCH("採用",$E25)),ISNUMBER(SEARCH("総務",$E25)),ISNUMBER(SEARCH("工場長",$E25)),ISNUMBER(SEARCH("社長",$E25)),ISNUMBER(SEARCH("出演",$E25)))),"◆","")</f>
        <v/>
      </c>
      <c r="BU25" s="55" t="str">
        <f aca="false">IF(AND(BU$7=$I25,OR(ISNUMBER(SEARCH("採用",$E25)),ISNUMBER(SEARCH("総務",$E25)),ISNUMBER(SEARCH("工場長",$E25)),ISNUMBER(SEARCH("社長",$E25)),ISNUMBER(SEARCH("出演",$E25)))),"◆","")</f>
        <v/>
      </c>
      <c r="BV25" s="55" t="str">
        <f aca="false">IF(AND(BV$7=$I25,OR(ISNUMBER(SEARCH("採用",$E25)),ISNUMBER(SEARCH("総務",$E25)),ISNUMBER(SEARCH("工場長",$E25)),ISNUMBER(SEARCH("社長",$E25)),ISNUMBER(SEARCH("出演",$E25)))),"◆","")</f>
        <v/>
      </c>
      <c r="BW25" s="55" t="str">
        <f aca="false">IF(AND(BW$7=$I25,OR(ISNUMBER(SEARCH("採用",$E25)),ISNUMBER(SEARCH("総務",$E25)),ISNUMBER(SEARCH("工場長",$E25)),ISNUMBER(SEARCH("社長",$E25)),ISNUMBER(SEARCH("出演",$E25)))),"◆","")</f>
        <v/>
      </c>
      <c r="BX25" s="55" t="str">
        <f aca="false">IF(AND(BX$7=$I25,OR(ISNUMBER(SEARCH("採用",$E25)),ISNUMBER(SEARCH("総務",$E25)),ISNUMBER(SEARCH("工場長",$E25)),ISNUMBER(SEARCH("社長",$E25)),ISNUMBER(SEARCH("出演",$E25)))),"◆","")</f>
        <v/>
      </c>
      <c r="BY25" s="55" t="str">
        <f aca="false">IF(AND(BY$7=$I25,OR(ISNUMBER(SEARCH("採用",$E25)),ISNUMBER(SEARCH("総務",$E25)),ISNUMBER(SEARCH("工場長",$E25)),ISNUMBER(SEARCH("社長",$E25)),ISNUMBER(SEARCH("出演",$E25)))),"◆","")</f>
        <v/>
      </c>
      <c r="BZ25" s="55" t="str">
        <f aca="false">IF(AND(BZ$7=$I25,OR(ISNUMBER(SEARCH("採用",$E25)),ISNUMBER(SEARCH("総務",$E25)),ISNUMBER(SEARCH("工場長",$E25)),ISNUMBER(SEARCH("社長",$E25)),ISNUMBER(SEARCH("出演",$E25)))),"◆","")</f>
        <v/>
      </c>
      <c r="CA25" s="55" t="str">
        <f aca="false">IF(AND(CA$7=$I25,OR(ISNUMBER(SEARCH("採用",$E25)),ISNUMBER(SEARCH("総務",$E25)),ISNUMBER(SEARCH("工場長",$E25)),ISNUMBER(SEARCH("社長",$E25)),ISNUMBER(SEARCH("出演",$E25)))),"◆","")</f>
        <v/>
      </c>
      <c r="CB25" s="55" t="str">
        <f aca="false">IF(AND(CB$7=$I25,OR(ISNUMBER(SEARCH("採用",$E25)),ISNUMBER(SEARCH("総務",$E25)),ISNUMBER(SEARCH("工場長",$E25)),ISNUMBER(SEARCH("社長",$E25)),ISNUMBER(SEARCH("出演",$E25)))),"◆","")</f>
        <v/>
      </c>
      <c r="CC25" s="55" t="str">
        <f aca="false">IF(AND(CC$7=$I25,OR(ISNUMBER(SEARCH("採用",$E25)),ISNUMBER(SEARCH("総務",$E25)),ISNUMBER(SEARCH("工場長",$E25)),ISNUMBER(SEARCH("社長",$E25)),ISNUMBER(SEARCH("出演",$E25)))),"◆","")</f>
        <v/>
      </c>
      <c r="CD25" s="55" t="str">
        <f aca="false">IF(AND(CD$7=$I25,OR(ISNUMBER(SEARCH("採用",$E25)),ISNUMBER(SEARCH("総務",$E25)),ISNUMBER(SEARCH("工場長",$E25)),ISNUMBER(SEARCH("社長",$E25)),ISNUMBER(SEARCH("出演",$E25)))),"◆","")</f>
        <v/>
      </c>
      <c r="CE25" s="55" t="str">
        <f aca="false">IF(AND(CE$7=$I25,OR(ISNUMBER(SEARCH("採用",$E25)),ISNUMBER(SEARCH("総務",$E25)),ISNUMBER(SEARCH("工場長",$E25)),ISNUMBER(SEARCH("社長",$E25)),ISNUMBER(SEARCH("出演",$E25)))),"◆","")</f>
        <v/>
      </c>
      <c r="CF25" s="55" t="str">
        <f aca="false">IF(AND(CF$7=$I25,OR(ISNUMBER(SEARCH("採用",$E25)),ISNUMBER(SEARCH("総務",$E25)),ISNUMBER(SEARCH("工場長",$E25)),ISNUMBER(SEARCH("社長",$E25)),ISNUMBER(SEARCH("出演",$E25)))),"◆","")</f>
        <v/>
      </c>
      <c r="CG25" s="55" t="str">
        <f aca="false">IF(AND(CG$7=$I25,OR(ISNUMBER(SEARCH("採用",$E25)),ISNUMBER(SEARCH("総務",$E25)),ISNUMBER(SEARCH("工場長",$E25)),ISNUMBER(SEARCH("社長",$E25)),ISNUMBER(SEARCH("出演",$E25)))),"◆","")</f>
        <v/>
      </c>
      <c r="CH25" s="55" t="str">
        <f aca="false">IF(AND(CH$7=$I25,OR(ISNUMBER(SEARCH("採用",$E25)),ISNUMBER(SEARCH("総務",$E25)),ISNUMBER(SEARCH("工場長",$E25)),ISNUMBER(SEARCH("社長",$E25)),ISNUMBER(SEARCH("出演",$E25)))),"◆","")</f>
        <v/>
      </c>
      <c r="CI25" s="55" t="str">
        <f aca="false">IF(AND(CI$7=$I25,OR(ISNUMBER(SEARCH("採用",$E25)),ISNUMBER(SEARCH("総務",$E25)),ISNUMBER(SEARCH("工場長",$E25)),ISNUMBER(SEARCH("社長",$E25)),ISNUMBER(SEARCH("出演",$E25)))),"◆","")</f>
        <v/>
      </c>
      <c r="CJ25" s="55" t="str">
        <f aca="false">IF(AND(CJ$7=$I25,OR(ISNUMBER(SEARCH("採用",$E25)),ISNUMBER(SEARCH("総務",$E25)),ISNUMBER(SEARCH("工場長",$E25)),ISNUMBER(SEARCH("社長",$E25)),ISNUMBER(SEARCH("出演",$E25)))),"◆","")</f>
        <v/>
      </c>
      <c r="CK25" s="55" t="str">
        <f aca="false">IF(AND(CK$7=$I25,OR(ISNUMBER(SEARCH("採用",$E25)),ISNUMBER(SEARCH("総務",$E25)),ISNUMBER(SEARCH("工場長",$E25)),ISNUMBER(SEARCH("社長",$E25)),ISNUMBER(SEARCH("出演",$E25)))),"◆","")</f>
        <v/>
      </c>
      <c r="CL25" s="55" t="str">
        <f aca="false">IF(AND(CL$7=$I25,OR(ISNUMBER(SEARCH("採用",$E25)),ISNUMBER(SEARCH("総務",$E25)),ISNUMBER(SEARCH("工場長",$E25)),ISNUMBER(SEARCH("社長",$E25)),ISNUMBER(SEARCH("出演",$E25)))),"◆","")</f>
        <v/>
      </c>
      <c r="CM25" s="55" t="str">
        <f aca="false">IF(AND(CM$7=$I25,OR(ISNUMBER(SEARCH("採用",$E25)),ISNUMBER(SEARCH("総務",$E25)),ISNUMBER(SEARCH("工場長",$E25)),ISNUMBER(SEARCH("社長",$E25)),ISNUMBER(SEARCH("出演",$E25)))),"◆","")</f>
        <v/>
      </c>
      <c r="CN25" s="55" t="str">
        <f aca="false">IF(AND(CN$7=$I25,OR(ISNUMBER(SEARCH("採用",$E25)),ISNUMBER(SEARCH("総務",$E25)),ISNUMBER(SEARCH("工場長",$E25)),ISNUMBER(SEARCH("社長",$E25)),ISNUMBER(SEARCH("出演",$E25)))),"◆","")</f>
        <v/>
      </c>
      <c r="CO25" s="55" t="str">
        <f aca="false">IF(AND(CO$7=$I25,OR(ISNUMBER(SEARCH("採用",$E25)),ISNUMBER(SEARCH("総務",$E25)),ISNUMBER(SEARCH("工場長",$E25)),ISNUMBER(SEARCH("社長",$E25)),ISNUMBER(SEARCH("出演",$E25)))),"◆","")</f>
        <v/>
      </c>
      <c r="CP25" s="55" t="str">
        <f aca="false">IF(AND(CP$7=$I25,OR(ISNUMBER(SEARCH("採用",$E25)),ISNUMBER(SEARCH("総務",$E25)),ISNUMBER(SEARCH("工場長",$E25)),ISNUMBER(SEARCH("社長",$E25)),ISNUMBER(SEARCH("出演",$E25)))),"◆","")</f>
        <v/>
      </c>
    </row>
    <row r="26" customFormat="false" ht="25.5" hidden="false" customHeight="true" outlineLevel="0" collapsed="false">
      <c r="A26" s="48" t="str">
        <f aca="false">制作工程表!A21</f>
        <v>T13</v>
      </c>
      <c r="B26" s="49" t="str">
        <f aca="false">制作工程表!B21</f>
        <v>原稿確定</v>
      </c>
      <c r="C26" s="50" t="str">
        <f aca="false">制作工程表!C21</f>
        <v>原稿の修正・確定</v>
      </c>
      <c r="D26" s="51" t="str">
        <f aca="false">制作工程表!D21</f>
        <v>ライター・編集ディレクター</v>
      </c>
      <c r="E26" s="51" t="str">
        <f aca="false">制作工程表!E21</f>
        <v>—</v>
      </c>
      <c r="F26" s="52" t="str">
        <f aca="false">IF(制作工程表!B21="取材撮影","撮影",IF(OR(制作工程表!D21="採用担当",制作工程表!D21="総務窓口",制作工程表!D21="工場長"),"企業","制作"))</f>
        <v>制作</v>
      </c>
      <c r="G26" s="53" t="n">
        <f aca="false">制作工程表!G21</f>
        <v>46339</v>
      </c>
      <c r="H26" s="53" t="n">
        <f aca="false">制作工程表!H21</f>
        <v>46342</v>
      </c>
      <c r="I26" s="54" t="str">
        <f aca="false">制作工程表!I21</f>
        <v>—</v>
      </c>
      <c r="J26" s="49" t="str">
        <f aca="false">制作工程表!K21</f>
        <v>未着手</v>
      </c>
      <c r="K26" s="55" t="str">
        <f aca="false">IF(AND(K$7=$I26,OR(ISNUMBER(SEARCH("採用",$E26)),ISNUMBER(SEARCH("総務",$E26)),ISNUMBER(SEARCH("工場長",$E26)),ISNUMBER(SEARCH("社長",$E26)),ISNUMBER(SEARCH("出演",$E26)))),"◆","")</f>
        <v/>
      </c>
      <c r="L26" s="55" t="str">
        <f aca="false">IF(AND(L$7=$I26,OR(ISNUMBER(SEARCH("採用",$E26)),ISNUMBER(SEARCH("総務",$E26)),ISNUMBER(SEARCH("工場長",$E26)),ISNUMBER(SEARCH("社長",$E26)),ISNUMBER(SEARCH("出演",$E26)))),"◆","")</f>
        <v/>
      </c>
      <c r="M26" s="55" t="str">
        <f aca="false">IF(AND(M$7=$I26,OR(ISNUMBER(SEARCH("採用",$E26)),ISNUMBER(SEARCH("総務",$E26)),ISNUMBER(SEARCH("工場長",$E26)),ISNUMBER(SEARCH("社長",$E26)),ISNUMBER(SEARCH("出演",$E26)))),"◆","")</f>
        <v/>
      </c>
      <c r="N26" s="55" t="str">
        <f aca="false">IF(AND(N$7=$I26,OR(ISNUMBER(SEARCH("採用",$E26)),ISNUMBER(SEARCH("総務",$E26)),ISNUMBER(SEARCH("工場長",$E26)),ISNUMBER(SEARCH("社長",$E26)),ISNUMBER(SEARCH("出演",$E26)))),"◆","")</f>
        <v/>
      </c>
      <c r="O26" s="55" t="str">
        <f aca="false">IF(AND(O$7=$I26,OR(ISNUMBER(SEARCH("採用",$E26)),ISNUMBER(SEARCH("総務",$E26)),ISNUMBER(SEARCH("工場長",$E26)),ISNUMBER(SEARCH("社長",$E26)),ISNUMBER(SEARCH("出演",$E26)))),"◆","")</f>
        <v/>
      </c>
      <c r="P26" s="55" t="str">
        <f aca="false">IF(AND(P$7=$I26,OR(ISNUMBER(SEARCH("採用",$E26)),ISNUMBER(SEARCH("総務",$E26)),ISNUMBER(SEARCH("工場長",$E26)),ISNUMBER(SEARCH("社長",$E26)),ISNUMBER(SEARCH("出演",$E26)))),"◆","")</f>
        <v/>
      </c>
      <c r="Q26" s="55" t="str">
        <f aca="false">IF(AND(Q$7=$I26,OR(ISNUMBER(SEARCH("採用",$E26)),ISNUMBER(SEARCH("総務",$E26)),ISNUMBER(SEARCH("工場長",$E26)),ISNUMBER(SEARCH("社長",$E26)),ISNUMBER(SEARCH("出演",$E26)))),"◆","")</f>
        <v/>
      </c>
      <c r="R26" s="55" t="str">
        <f aca="false">IF(AND(R$7=$I26,OR(ISNUMBER(SEARCH("採用",$E26)),ISNUMBER(SEARCH("総務",$E26)),ISNUMBER(SEARCH("工場長",$E26)),ISNUMBER(SEARCH("社長",$E26)),ISNUMBER(SEARCH("出演",$E26)))),"◆","")</f>
        <v/>
      </c>
      <c r="S26" s="55" t="str">
        <f aca="false">IF(AND(S$7=$I26,OR(ISNUMBER(SEARCH("採用",$E26)),ISNUMBER(SEARCH("総務",$E26)),ISNUMBER(SEARCH("工場長",$E26)),ISNUMBER(SEARCH("社長",$E26)),ISNUMBER(SEARCH("出演",$E26)))),"◆","")</f>
        <v/>
      </c>
      <c r="T26" s="55" t="str">
        <f aca="false">IF(AND(T$7=$I26,OR(ISNUMBER(SEARCH("採用",$E26)),ISNUMBER(SEARCH("総務",$E26)),ISNUMBER(SEARCH("工場長",$E26)),ISNUMBER(SEARCH("社長",$E26)),ISNUMBER(SEARCH("出演",$E26)))),"◆","")</f>
        <v/>
      </c>
      <c r="U26" s="55" t="str">
        <f aca="false">IF(AND(U$7=$I26,OR(ISNUMBER(SEARCH("採用",$E26)),ISNUMBER(SEARCH("総務",$E26)),ISNUMBER(SEARCH("工場長",$E26)),ISNUMBER(SEARCH("社長",$E26)),ISNUMBER(SEARCH("出演",$E26)))),"◆","")</f>
        <v/>
      </c>
      <c r="V26" s="55" t="str">
        <f aca="false">IF(AND(V$7=$I26,OR(ISNUMBER(SEARCH("採用",$E26)),ISNUMBER(SEARCH("総務",$E26)),ISNUMBER(SEARCH("工場長",$E26)),ISNUMBER(SEARCH("社長",$E26)),ISNUMBER(SEARCH("出演",$E26)))),"◆","")</f>
        <v/>
      </c>
      <c r="W26" s="55" t="str">
        <f aca="false">IF(AND(W$7=$I26,OR(ISNUMBER(SEARCH("採用",$E26)),ISNUMBER(SEARCH("総務",$E26)),ISNUMBER(SEARCH("工場長",$E26)),ISNUMBER(SEARCH("社長",$E26)),ISNUMBER(SEARCH("出演",$E26)))),"◆","")</f>
        <v/>
      </c>
      <c r="X26" s="55" t="str">
        <f aca="false">IF(AND(X$7=$I26,OR(ISNUMBER(SEARCH("採用",$E26)),ISNUMBER(SEARCH("総務",$E26)),ISNUMBER(SEARCH("工場長",$E26)),ISNUMBER(SEARCH("社長",$E26)),ISNUMBER(SEARCH("出演",$E26)))),"◆","")</f>
        <v/>
      </c>
      <c r="Y26" s="55" t="str">
        <f aca="false">IF(AND(Y$7=$I26,OR(ISNUMBER(SEARCH("採用",$E26)),ISNUMBER(SEARCH("総務",$E26)),ISNUMBER(SEARCH("工場長",$E26)),ISNUMBER(SEARCH("社長",$E26)),ISNUMBER(SEARCH("出演",$E26)))),"◆","")</f>
        <v/>
      </c>
      <c r="Z26" s="55" t="str">
        <f aca="false">IF(AND(Z$7=$I26,OR(ISNUMBER(SEARCH("採用",$E26)),ISNUMBER(SEARCH("総務",$E26)),ISNUMBER(SEARCH("工場長",$E26)),ISNUMBER(SEARCH("社長",$E26)),ISNUMBER(SEARCH("出演",$E26)))),"◆","")</f>
        <v/>
      </c>
      <c r="AA26" s="55" t="str">
        <f aca="false">IF(AND(AA$7=$I26,OR(ISNUMBER(SEARCH("採用",$E26)),ISNUMBER(SEARCH("総務",$E26)),ISNUMBER(SEARCH("工場長",$E26)),ISNUMBER(SEARCH("社長",$E26)),ISNUMBER(SEARCH("出演",$E26)))),"◆","")</f>
        <v/>
      </c>
      <c r="AB26" s="55" t="str">
        <f aca="false">IF(AND(AB$7=$I26,OR(ISNUMBER(SEARCH("採用",$E26)),ISNUMBER(SEARCH("総務",$E26)),ISNUMBER(SEARCH("工場長",$E26)),ISNUMBER(SEARCH("社長",$E26)),ISNUMBER(SEARCH("出演",$E26)))),"◆","")</f>
        <v/>
      </c>
      <c r="AC26" s="55" t="str">
        <f aca="false">IF(AND(AC$7=$I26,OR(ISNUMBER(SEARCH("採用",$E26)),ISNUMBER(SEARCH("総務",$E26)),ISNUMBER(SEARCH("工場長",$E26)),ISNUMBER(SEARCH("社長",$E26)),ISNUMBER(SEARCH("出演",$E26)))),"◆","")</f>
        <v/>
      </c>
      <c r="AD26" s="55" t="str">
        <f aca="false">IF(AND(AD$7=$I26,OR(ISNUMBER(SEARCH("採用",$E26)),ISNUMBER(SEARCH("総務",$E26)),ISNUMBER(SEARCH("工場長",$E26)),ISNUMBER(SEARCH("社長",$E26)),ISNUMBER(SEARCH("出演",$E26)))),"◆","")</f>
        <v/>
      </c>
      <c r="AE26" s="55" t="str">
        <f aca="false">IF(AND(AE$7=$I26,OR(ISNUMBER(SEARCH("採用",$E26)),ISNUMBER(SEARCH("総務",$E26)),ISNUMBER(SEARCH("工場長",$E26)),ISNUMBER(SEARCH("社長",$E26)),ISNUMBER(SEARCH("出演",$E26)))),"◆","")</f>
        <v/>
      </c>
      <c r="AF26" s="55" t="str">
        <f aca="false">IF(AND(AF$7=$I26,OR(ISNUMBER(SEARCH("採用",$E26)),ISNUMBER(SEARCH("総務",$E26)),ISNUMBER(SEARCH("工場長",$E26)),ISNUMBER(SEARCH("社長",$E26)),ISNUMBER(SEARCH("出演",$E26)))),"◆","")</f>
        <v/>
      </c>
      <c r="AG26" s="55" t="str">
        <f aca="false">IF(AND(AG$7=$I26,OR(ISNUMBER(SEARCH("採用",$E26)),ISNUMBER(SEARCH("総務",$E26)),ISNUMBER(SEARCH("工場長",$E26)),ISNUMBER(SEARCH("社長",$E26)),ISNUMBER(SEARCH("出演",$E26)))),"◆","")</f>
        <v/>
      </c>
      <c r="AH26" s="55" t="str">
        <f aca="false">IF(AND(AH$7=$I26,OR(ISNUMBER(SEARCH("採用",$E26)),ISNUMBER(SEARCH("総務",$E26)),ISNUMBER(SEARCH("工場長",$E26)),ISNUMBER(SEARCH("社長",$E26)),ISNUMBER(SEARCH("出演",$E26)))),"◆","")</f>
        <v/>
      </c>
      <c r="AI26" s="55" t="str">
        <f aca="false">IF(AND(AI$7=$I26,OR(ISNUMBER(SEARCH("採用",$E26)),ISNUMBER(SEARCH("総務",$E26)),ISNUMBER(SEARCH("工場長",$E26)),ISNUMBER(SEARCH("社長",$E26)),ISNUMBER(SEARCH("出演",$E26)))),"◆","")</f>
        <v/>
      </c>
      <c r="AJ26" s="55" t="str">
        <f aca="false">IF(AND(AJ$7=$I26,OR(ISNUMBER(SEARCH("採用",$E26)),ISNUMBER(SEARCH("総務",$E26)),ISNUMBER(SEARCH("工場長",$E26)),ISNUMBER(SEARCH("社長",$E26)),ISNUMBER(SEARCH("出演",$E26)))),"◆","")</f>
        <v/>
      </c>
      <c r="AK26" s="55" t="str">
        <f aca="false">IF(AND(AK$7=$I26,OR(ISNUMBER(SEARCH("採用",$E26)),ISNUMBER(SEARCH("総務",$E26)),ISNUMBER(SEARCH("工場長",$E26)),ISNUMBER(SEARCH("社長",$E26)),ISNUMBER(SEARCH("出演",$E26)))),"◆","")</f>
        <v/>
      </c>
      <c r="AL26" s="55" t="str">
        <f aca="false">IF(AND(AL$7=$I26,OR(ISNUMBER(SEARCH("採用",$E26)),ISNUMBER(SEARCH("総務",$E26)),ISNUMBER(SEARCH("工場長",$E26)),ISNUMBER(SEARCH("社長",$E26)),ISNUMBER(SEARCH("出演",$E26)))),"◆","")</f>
        <v/>
      </c>
      <c r="AM26" s="55" t="str">
        <f aca="false">IF(AND(AM$7=$I26,OR(ISNUMBER(SEARCH("採用",$E26)),ISNUMBER(SEARCH("総務",$E26)),ISNUMBER(SEARCH("工場長",$E26)),ISNUMBER(SEARCH("社長",$E26)),ISNUMBER(SEARCH("出演",$E26)))),"◆","")</f>
        <v/>
      </c>
      <c r="AN26" s="55" t="str">
        <f aca="false">IF(AND(AN$7=$I26,OR(ISNUMBER(SEARCH("採用",$E26)),ISNUMBER(SEARCH("総務",$E26)),ISNUMBER(SEARCH("工場長",$E26)),ISNUMBER(SEARCH("社長",$E26)),ISNUMBER(SEARCH("出演",$E26)))),"◆","")</f>
        <v/>
      </c>
      <c r="AO26" s="55" t="str">
        <f aca="false">IF(AND(AO$7=$I26,OR(ISNUMBER(SEARCH("採用",$E26)),ISNUMBER(SEARCH("総務",$E26)),ISNUMBER(SEARCH("工場長",$E26)),ISNUMBER(SEARCH("社長",$E26)),ISNUMBER(SEARCH("出演",$E26)))),"◆","")</f>
        <v/>
      </c>
      <c r="AP26" s="55" t="str">
        <f aca="false">IF(AND(AP$7=$I26,OR(ISNUMBER(SEARCH("採用",$E26)),ISNUMBER(SEARCH("総務",$E26)),ISNUMBER(SEARCH("工場長",$E26)),ISNUMBER(SEARCH("社長",$E26)),ISNUMBER(SEARCH("出演",$E26)))),"◆","")</f>
        <v/>
      </c>
      <c r="AQ26" s="55" t="str">
        <f aca="false">IF(AND(AQ$7=$I26,OR(ISNUMBER(SEARCH("採用",$E26)),ISNUMBER(SEARCH("総務",$E26)),ISNUMBER(SEARCH("工場長",$E26)),ISNUMBER(SEARCH("社長",$E26)),ISNUMBER(SEARCH("出演",$E26)))),"◆","")</f>
        <v/>
      </c>
      <c r="AR26" s="55" t="str">
        <f aca="false">IF(AND(AR$7=$I26,OR(ISNUMBER(SEARCH("採用",$E26)),ISNUMBER(SEARCH("総務",$E26)),ISNUMBER(SEARCH("工場長",$E26)),ISNUMBER(SEARCH("社長",$E26)),ISNUMBER(SEARCH("出演",$E26)))),"◆","")</f>
        <v/>
      </c>
      <c r="AS26" s="55" t="str">
        <f aca="false">IF(AND(AS$7=$I26,OR(ISNUMBER(SEARCH("採用",$E26)),ISNUMBER(SEARCH("総務",$E26)),ISNUMBER(SEARCH("工場長",$E26)),ISNUMBER(SEARCH("社長",$E26)),ISNUMBER(SEARCH("出演",$E26)))),"◆","")</f>
        <v/>
      </c>
      <c r="AT26" s="55" t="str">
        <f aca="false">IF(AND(AT$7=$I26,OR(ISNUMBER(SEARCH("採用",$E26)),ISNUMBER(SEARCH("総務",$E26)),ISNUMBER(SEARCH("工場長",$E26)),ISNUMBER(SEARCH("社長",$E26)),ISNUMBER(SEARCH("出演",$E26)))),"◆","")</f>
        <v/>
      </c>
      <c r="AU26" s="55" t="str">
        <f aca="false">IF(AND(AU$7=$I26,OR(ISNUMBER(SEARCH("採用",$E26)),ISNUMBER(SEARCH("総務",$E26)),ISNUMBER(SEARCH("工場長",$E26)),ISNUMBER(SEARCH("社長",$E26)),ISNUMBER(SEARCH("出演",$E26)))),"◆","")</f>
        <v/>
      </c>
      <c r="AV26" s="55" t="str">
        <f aca="false">IF(AND(AV$7=$I26,OR(ISNUMBER(SEARCH("採用",$E26)),ISNUMBER(SEARCH("総務",$E26)),ISNUMBER(SEARCH("工場長",$E26)),ISNUMBER(SEARCH("社長",$E26)),ISNUMBER(SEARCH("出演",$E26)))),"◆","")</f>
        <v/>
      </c>
      <c r="AW26" s="55" t="str">
        <f aca="false">IF(AND(AW$7=$I26,OR(ISNUMBER(SEARCH("採用",$E26)),ISNUMBER(SEARCH("総務",$E26)),ISNUMBER(SEARCH("工場長",$E26)),ISNUMBER(SEARCH("社長",$E26)),ISNUMBER(SEARCH("出演",$E26)))),"◆","")</f>
        <v/>
      </c>
      <c r="AX26" s="55" t="str">
        <f aca="false">IF(AND(AX$7=$I26,OR(ISNUMBER(SEARCH("採用",$E26)),ISNUMBER(SEARCH("総務",$E26)),ISNUMBER(SEARCH("工場長",$E26)),ISNUMBER(SEARCH("社長",$E26)),ISNUMBER(SEARCH("出演",$E26)))),"◆","")</f>
        <v/>
      </c>
      <c r="AY26" s="55" t="str">
        <f aca="false">IF(AND(AY$7=$I26,OR(ISNUMBER(SEARCH("採用",$E26)),ISNUMBER(SEARCH("総務",$E26)),ISNUMBER(SEARCH("工場長",$E26)),ISNUMBER(SEARCH("社長",$E26)),ISNUMBER(SEARCH("出演",$E26)))),"◆","")</f>
        <v/>
      </c>
      <c r="AZ26" s="55" t="str">
        <f aca="false">IF(AND(AZ$7=$I26,OR(ISNUMBER(SEARCH("採用",$E26)),ISNUMBER(SEARCH("総務",$E26)),ISNUMBER(SEARCH("工場長",$E26)),ISNUMBER(SEARCH("社長",$E26)),ISNUMBER(SEARCH("出演",$E26)))),"◆","")</f>
        <v/>
      </c>
      <c r="BA26" s="55" t="str">
        <f aca="false">IF(AND(BA$7=$I26,OR(ISNUMBER(SEARCH("採用",$E26)),ISNUMBER(SEARCH("総務",$E26)),ISNUMBER(SEARCH("工場長",$E26)),ISNUMBER(SEARCH("社長",$E26)),ISNUMBER(SEARCH("出演",$E26)))),"◆","")</f>
        <v/>
      </c>
      <c r="BB26" s="55" t="str">
        <f aca="false">IF(AND(BB$7=$I26,OR(ISNUMBER(SEARCH("採用",$E26)),ISNUMBER(SEARCH("総務",$E26)),ISNUMBER(SEARCH("工場長",$E26)),ISNUMBER(SEARCH("社長",$E26)),ISNUMBER(SEARCH("出演",$E26)))),"◆","")</f>
        <v/>
      </c>
      <c r="BC26" s="55" t="str">
        <f aca="false">IF(AND(BC$7=$I26,OR(ISNUMBER(SEARCH("採用",$E26)),ISNUMBER(SEARCH("総務",$E26)),ISNUMBER(SEARCH("工場長",$E26)),ISNUMBER(SEARCH("社長",$E26)),ISNUMBER(SEARCH("出演",$E26)))),"◆","")</f>
        <v/>
      </c>
      <c r="BD26" s="55" t="str">
        <f aca="false">IF(AND(BD$7=$I26,OR(ISNUMBER(SEARCH("採用",$E26)),ISNUMBER(SEARCH("総務",$E26)),ISNUMBER(SEARCH("工場長",$E26)),ISNUMBER(SEARCH("社長",$E26)),ISNUMBER(SEARCH("出演",$E26)))),"◆","")</f>
        <v/>
      </c>
      <c r="BE26" s="55" t="str">
        <f aca="false">IF(AND(BE$7=$I26,OR(ISNUMBER(SEARCH("採用",$E26)),ISNUMBER(SEARCH("総務",$E26)),ISNUMBER(SEARCH("工場長",$E26)),ISNUMBER(SEARCH("社長",$E26)),ISNUMBER(SEARCH("出演",$E26)))),"◆","")</f>
        <v/>
      </c>
      <c r="BF26" s="55" t="str">
        <f aca="false">IF(AND(BF$7=$I26,OR(ISNUMBER(SEARCH("採用",$E26)),ISNUMBER(SEARCH("総務",$E26)),ISNUMBER(SEARCH("工場長",$E26)),ISNUMBER(SEARCH("社長",$E26)),ISNUMBER(SEARCH("出演",$E26)))),"◆","")</f>
        <v/>
      </c>
      <c r="BG26" s="55" t="str">
        <f aca="false">IF(AND(BG$7=$I26,OR(ISNUMBER(SEARCH("採用",$E26)),ISNUMBER(SEARCH("総務",$E26)),ISNUMBER(SEARCH("工場長",$E26)),ISNUMBER(SEARCH("社長",$E26)),ISNUMBER(SEARCH("出演",$E26)))),"◆","")</f>
        <v/>
      </c>
      <c r="BH26" s="55" t="str">
        <f aca="false">IF(AND(BH$7=$I26,OR(ISNUMBER(SEARCH("採用",$E26)),ISNUMBER(SEARCH("総務",$E26)),ISNUMBER(SEARCH("工場長",$E26)),ISNUMBER(SEARCH("社長",$E26)),ISNUMBER(SEARCH("出演",$E26)))),"◆","")</f>
        <v/>
      </c>
      <c r="BI26" s="55" t="str">
        <f aca="false">IF(AND(BI$7=$I26,OR(ISNUMBER(SEARCH("採用",$E26)),ISNUMBER(SEARCH("総務",$E26)),ISNUMBER(SEARCH("工場長",$E26)),ISNUMBER(SEARCH("社長",$E26)),ISNUMBER(SEARCH("出演",$E26)))),"◆","")</f>
        <v/>
      </c>
      <c r="BJ26" s="55" t="str">
        <f aca="false">IF(AND(BJ$7=$I26,OR(ISNUMBER(SEARCH("採用",$E26)),ISNUMBER(SEARCH("総務",$E26)),ISNUMBER(SEARCH("工場長",$E26)),ISNUMBER(SEARCH("社長",$E26)),ISNUMBER(SEARCH("出演",$E26)))),"◆","")</f>
        <v/>
      </c>
      <c r="BK26" s="55" t="str">
        <f aca="false">IF(AND(BK$7=$I26,OR(ISNUMBER(SEARCH("採用",$E26)),ISNUMBER(SEARCH("総務",$E26)),ISNUMBER(SEARCH("工場長",$E26)),ISNUMBER(SEARCH("社長",$E26)),ISNUMBER(SEARCH("出演",$E26)))),"◆","")</f>
        <v/>
      </c>
      <c r="BL26" s="55" t="str">
        <f aca="false">IF(AND(BL$7=$I26,OR(ISNUMBER(SEARCH("採用",$E26)),ISNUMBER(SEARCH("総務",$E26)),ISNUMBER(SEARCH("工場長",$E26)),ISNUMBER(SEARCH("社長",$E26)),ISNUMBER(SEARCH("出演",$E26)))),"◆","")</f>
        <v/>
      </c>
      <c r="BM26" s="55" t="str">
        <f aca="false">IF(AND(BM$7=$I26,OR(ISNUMBER(SEARCH("採用",$E26)),ISNUMBER(SEARCH("総務",$E26)),ISNUMBER(SEARCH("工場長",$E26)),ISNUMBER(SEARCH("社長",$E26)),ISNUMBER(SEARCH("出演",$E26)))),"◆","")</f>
        <v/>
      </c>
      <c r="BN26" s="55" t="str">
        <f aca="false">IF(AND(BN$7=$I26,OR(ISNUMBER(SEARCH("採用",$E26)),ISNUMBER(SEARCH("総務",$E26)),ISNUMBER(SEARCH("工場長",$E26)),ISNUMBER(SEARCH("社長",$E26)),ISNUMBER(SEARCH("出演",$E26)))),"◆","")</f>
        <v/>
      </c>
      <c r="BO26" s="55" t="str">
        <f aca="false">IF(AND(BO$7=$I26,OR(ISNUMBER(SEARCH("採用",$E26)),ISNUMBER(SEARCH("総務",$E26)),ISNUMBER(SEARCH("工場長",$E26)),ISNUMBER(SEARCH("社長",$E26)),ISNUMBER(SEARCH("出演",$E26)))),"◆","")</f>
        <v/>
      </c>
      <c r="BP26" s="55" t="str">
        <f aca="false">IF(AND(BP$7=$I26,OR(ISNUMBER(SEARCH("採用",$E26)),ISNUMBER(SEARCH("総務",$E26)),ISNUMBER(SEARCH("工場長",$E26)),ISNUMBER(SEARCH("社長",$E26)),ISNUMBER(SEARCH("出演",$E26)))),"◆","")</f>
        <v/>
      </c>
      <c r="BQ26" s="55" t="str">
        <f aca="false">IF(AND(BQ$7=$I26,OR(ISNUMBER(SEARCH("採用",$E26)),ISNUMBER(SEARCH("総務",$E26)),ISNUMBER(SEARCH("工場長",$E26)),ISNUMBER(SEARCH("社長",$E26)),ISNUMBER(SEARCH("出演",$E26)))),"◆","")</f>
        <v/>
      </c>
      <c r="BR26" s="55" t="str">
        <f aca="false">IF(AND(BR$7=$I26,OR(ISNUMBER(SEARCH("採用",$E26)),ISNUMBER(SEARCH("総務",$E26)),ISNUMBER(SEARCH("工場長",$E26)),ISNUMBER(SEARCH("社長",$E26)),ISNUMBER(SEARCH("出演",$E26)))),"◆","")</f>
        <v/>
      </c>
      <c r="BS26" s="55" t="str">
        <f aca="false">IF(AND(BS$7=$I26,OR(ISNUMBER(SEARCH("採用",$E26)),ISNUMBER(SEARCH("総務",$E26)),ISNUMBER(SEARCH("工場長",$E26)),ISNUMBER(SEARCH("社長",$E26)),ISNUMBER(SEARCH("出演",$E26)))),"◆","")</f>
        <v/>
      </c>
      <c r="BT26" s="55" t="str">
        <f aca="false">IF(AND(BT$7=$I26,OR(ISNUMBER(SEARCH("採用",$E26)),ISNUMBER(SEARCH("総務",$E26)),ISNUMBER(SEARCH("工場長",$E26)),ISNUMBER(SEARCH("社長",$E26)),ISNUMBER(SEARCH("出演",$E26)))),"◆","")</f>
        <v/>
      </c>
      <c r="BU26" s="55" t="str">
        <f aca="false">IF(AND(BU$7=$I26,OR(ISNUMBER(SEARCH("採用",$E26)),ISNUMBER(SEARCH("総務",$E26)),ISNUMBER(SEARCH("工場長",$E26)),ISNUMBER(SEARCH("社長",$E26)),ISNUMBER(SEARCH("出演",$E26)))),"◆","")</f>
        <v/>
      </c>
      <c r="BV26" s="55" t="str">
        <f aca="false">IF(AND(BV$7=$I26,OR(ISNUMBER(SEARCH("採用",$E26)),ISNUMBER(SEARCH("総務",$E26)),ISNUMBER(SEARCH("工場長",$E26)),ISNUMBER(SEARCH("社長",$E26)),ISNUMBER(SEARCH("出演",$E26)))),"◆","")</f>
        <v/>
      </c>
      <c r="BW26" s="55" t="str">
        <f aca="false">IF(AND(BW$7=$I26,OR(ISNUMBER(SEARCH("採用",$E26)),ISNUMBER(SEARCH("総務",$E26)),ISNUMBER(SEARCH("工場長",$E26)),ISNUMBER(SEARCH("社長",$E26)),ISNUMBER(SEARCH("出演",$E26)))),"◆","")</f>
        <v/>
      </c>
      <c r="BX26" s="55" t="str">
        <f aca="false">IF(AND(BX$7=$I26,OR(ISNUMBER(SEARCH("採用",$E26)),ISNUMBER(SEARCH("総務",$E26)),ISNUMBER(SEARCH("工場長",$E26)),ISNUMBER(SEARCH("社長",$E26)),ISNUMBER(SEARCH("出演",$E26)))),"◆","")</f>
        <v/>
      </c>
      <c r="BY26" s="55" t="str">
        <f aca="false">IF(AND(BY$7=$I26,OR(ISNUMBER(SEARCH("採用",$E26)),ISNUMBER(SEARCH("総務",$E26)),ISNUMBER(SEARCH("工場長",$E26)),ISNUMBER(SEARCH("社長",$E26)),ISNUMBER(SEARCH("出演",$E26)))),"◆","")</f>
        <v/>
      </c>
      <c r="BZ26" s="55" t="str">
        <f aca="false">IF(AND(BZ$7=$I26,OR(ISNUMBER(SEARCH("採用",$E26)),ISNUMBER(SEARCH("総務",$E26)),ISNUMBER(SEARCH("工場長",$E26)),ISNUMBER(SEARCH("社長",$E26)),ISNUMBER(SEARCH("出演",$E26)))),"◆","")</f>
        <v/>
      </c>
      <c r="CA26" s="55" t="str">
        <f aca="false">IF(AND(CA$7=$I26,OR(ISNUMBER(SEARCH("採用",$E26)),ISNUMBER(SEARCH("総務",$E26)),ISNUMBER(SEARCH("工場長",$E26)),ISNUMBER(SEARCH("社長",$E26)),ISNUMBER(SEARCH("出演",$E26)))),"◆","")</f>
        <v/>
      </c>
      <c r="CB26" s="55" t="str">
        <f aca="false">IF(AND(CB$7=$I26,OR(ISNUMBER(SEARCH("採用",$E26)),ISNUMBER(SEARCH("総務",$E26)),ISNUMBER(SEARCH("工場長",$E26)),ISNUMBER(SEARCH("社長",$E26)),ISNUMBER(SEARCH("出演",$E26)))),"◆","")</f>
        <v/>
      </c>
      <c r="CC26" s="55" t="str">
        <f aca="false">IF(AND(CC$7=$I26,OR(ISNUMBER(SEARCH("採用",$E26)),ISNUMBER(SEARCH("総務",$E26)),ISNUMBER(SEARCH("工場長",$E26)),ISNUMBER(SEARCH("社長",$E26)),ISNUMBER(SEARCH("出演",$E26)))),"◆","")</f>
        <v/>
      </c>
      <c r="CD26" s="55" t="str">
        <f aca="false">IF(AND(CD$7=$I26,OR(ISNUMBER(SEARCH("採用",$E26)),ISNUMBER(SEARCH("総務",$E26)),ISNUMBER(SEARCH("工場長",$E26)),ISNUMBER(SEARCH("社長",$E26)),ISNUMBER(SEARCH("出演",$E26)))),"◆","")</f>
        <v/>
      </c>
      <c r="CE26" s="55" t="str">
        <f aca="false">IF(AND(CE$7=$I26,OR(ISNUMBER(SEARCH("採用",$E26)),ISNUMBER(SEARCH("総務",$E26)),ISNUMBER(SEARCH("工場長",$E26)),ISNUMBER(SEARCH("社長",$E26)),ISNUMBER(SEARCH("出演",$E26)))),"◆","")</f>
        <v/>
      </c>
      <c r="CF26" s="55" t="str">
        <f aca="false">IF(AND(CF$7=$I26,OR(ISNUMBER(SEARCH("採用",$E26)),ISNUMBER(SEARCH("総務",$E26)),ISNUMBER(SEARCH("工場長",$E26)),ISNUMBER(SEARCH("社長",$E26)),ISNUMBER(SEARCH("出演",$E26)))),"◆","")</f>
        <v/>
      </c>
      <c r="CG26" s="55" t="str">
        <f aca="false">IF(AND(CG$7=$I26,OR(ISNUMBER(SEARCH("採用",$E26)),ISNUMBER(SEARCH("総務",$E26)),ISNUMBER(SEARCH("工場長",$E26)),ISNUMBER(SEARCH("社長",$E26)),ISNUMBER(SEARCH("出演",$E26)))),"◆","")</f>
        <v/>
      </c>
      <c r="CH26" s="55" t="str">
        <f aca="false">IF(AND(CH$7=$I26,OR(ISNUMBER(SEARCH("採用",$E26)),ISNUMBER(SEARCH("総務",$E26)),ISNUMBER(SEARCH("工場長",$E26)),ISNUMBER(SEARCH("社長",$E26)),ISNUMBER(SEARCH("出演",$E26)))),"◆","")</f>
        <v/>
      </c>
      <c r="CI26" s="55" t="str">
        <f aca="false">IF(AND(CI$7=$I26,OR(ISNUMBER(SEARCH("採用",$E26)),ISNUMBER(SEARCH("総務",$E26)),ISNUMBER(SEARCH("工場長",$E26)),ISNUMBER(SEARCH("社長",$E26)),ISNUMBER(SEARCH("出演",$E26)))),"◆","")</f>
        <v/>
      </c>
      <c r="CJ26" s="55" t="str">
        <f aca="false">IF(AND(CJ$7=$I26,OR(ISNUMBER(SEARCH("採用",$E26)),ISNUMBER(SEARCH("総務",$E26)),ISNUMBER(SEARCH("工場長",$E26)),ISNUMBER(SEARCH("社長",$E26)),ISNUMBER(SEARCH("出演",$E26)))),"◆","")</f>
        <v/>
      </c>
      <c r="CK26" s="55" t="str">
        <f aca="false">IF(AND(CK$7=$I26,OR(ISNUMBER(SEARCH("採用",$E26)),ISNUMBER(SEARCH("総務",$E26)),ISNUMBER(SEARCH("工場長",$E26)),ISNUMBER(SEARCH("社長",$E26)),ISNUMBER(SEARCH("出演",$E26)))),"◆","")</f>
        <v/>
      </c>
      <c r="CL26" s="55" t="str">
        <f aca="false">IF(AND(CL$7=$I26,OR(ISNUMBER(SEARCH("採用",$E26)),ISNUMBER(SEARCH("総務",$E26)),ISNUMBER(SEARCH("工場長",$E26)),ISNUMBER(SEARCH("社長",$E26)),ISNUMBER(SEARCH("出演",$E26)))),"◆","")</f>
        <v/>
      </c>
      <c r="CM26" s="55" t="str">
        <f aca="false">IF(AND(CM$7=$I26,OR(ISNUMBER(SEARCH("採用",$E26)),ISNUMBER(SEARCH("総務",$E26)),ISNUMBER(SEARCH("工場長",$E26)),ISNUMBER(SEARCH("社長",$E26)),ISNUMBER(SEARCH("出演",$E26)))),"◆","")</f>
        <v/>
      </c>
      <c r="CN26" s="55" t="str">
        <f aca="false">IF(AND(CN$7=$I26,OR(ISNUMBER(SEARCH("採用",$E26)),ISNUMBER(SEARCH("総務",$E26)),ISNUMBER(SEARCH("工場長",$E26)),ISNUMBER(SEARCH("社長",$E26)),ISNUMBER(SEARCH("出演",$E26)))),"◆","")</f>
        <v/>
      </c>
      <c r="CO26" s="55" t="str">
        <f aca="false">IF(AND(CO$7=$I26,OR(ISNUMBER(SEARCH("採用",$E26)),ISNUMBER(SEARCH("総務",$E26)),ISNUMBER(SEARCH("工場長",$E26)),ISNUMBER(SEARCH("社長",$E26)),ISNUMBER(SEARCH("出演",$E26)))),"◆","")</f>
        <v/>
      </c>
      <c r="CP26" s="55" t="str">
        <f aca="false">IF(AND(CP$7=$I26,OR(ISNUMBER(SEARCH("採用",$E26)),ISNUMBER(SEARCH("総務",$E26)),ISNUMBER(SEARCH("工場長",$E26)),ISNUMBER(SEARCH("社長",$E26)),ISNUMBER(SEARCH("出演",$E26)))),"◆","")</f>
        <v/>
      </c>
    </row>
    <row r="27" customFormat="false" ht="21.75" hidden="false" customHeight="true" outlineLevel="0" collapsed="false">
      <c r="A27" s="43" t="s">
        <v>77</v>
      </c>
      <c r="B27" s="43"/>
      <c r="C27" s="43"/>
      <c r="D27" s="43"/>
      <c r="E27" s="43"/>
      <c r="F27" s="44" t="s">
        <v>73</v>
      </c>
      <c r="G27" s="45" t="n">
        <f aca="false">MIN(制作工程表!G22:G24)</f>
        <v>46324</v>
      </c>
      <c r="H27" s="45" t="n">
        <f aca="false">MAX(制作工程表!H22:H24)</f>
        <v>46353</v>
      </c>
      <c r="I27" s="45" t="n">
        <f aca="false">IF(MAX(制作工程表!I22:I24)=0,"—",MAX(制作工程表!I22:I24))</f>
        <v>46345</v>
      </c>
      <c r="J27" s="46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</row>
    <row r="28" customFormat="false" ht="25.5" hidden="false" customHeight="true" outlineLevel="0" collapsed="false">
      <c r="A28" s="48" t="str">
        <f aca="false">制作工程表!A22</f>
        <v>T14</v>
      </c>
      <c r="B28" s="49" t="str">
        <f aca="false">制作工程表!B22</f>
        <v>デザイン</v>
      </c>
      <c r="C28" s="50" t="str">
        <f aca="false">制作工程表!C22</f>
        <v>トップ・代表下層のデザイン</v>
      </c>
      <c r="D28" s="51" t="str">
        <f aca="false">制作工程表!D22</f>
        <v>デザイナー</v>
      </c>
      <c r="E28" s="51" t="str">
        <f aca="false">制作工程表!E22</f>
        <v>—</v>
      </c>
      <c r="F28" s="52" t="str">
        <f aca="false">IF(制作工程表!B22="取材撮影","撮影",IF(OR(制作工程表!D22="採用担当",制作工程表!D22="総務窓口",制作工程表!D22="工場長"),"企業","制作"))</f>
        <v>制作</v>
      </c>
      <c r="G28" s="53" t="n">
        <f aca="false">制作工程表!G22</f>
        <v>46324</v>
      </c>
      <c r="H28" s="53" t="n">
        <f aca="false">制作工程表!H22</f>
        <v>46335</v>
      </c>
      <c r="I28" s="54" t="str">
        <f aca="false">制作工程表!I22</f>
        <v>—</v>
      </c>
      <c r="J28" s="49" t="str">
        <f aca="false">制作工程表!K22</f>
        <v>未着手</v>
      </c>
      <c r="K28" s="55" t="str">
        <f aca="false">IF(AND(K$7=$I28,OR(ISNUMBER(SEARCH("採用",$E28)),ISNUMBER(SEARCH("総務",$E28)),ISNUMBER(SEARCH("工場長",$E28)),ISNUMBER(SEARCH("社長",$E28)),ISNUMBER(SEARCH("出演",$E28)))),"◆","")</f>
        <v/>
      </c>
      <c r="L28" s="55" t="str">
        <f aca="false">IF(AND(L$7=$I28,OR(ISNUMBER(SEARCH("採用",$E28)),ISNUMBER(SEARCH("総務",$E28)),ISNUMBER(SEARCH("工場長",$E28)),ISNUMBER(SEARCH("社長",$E28)),ISNUMBER(SEARCH("出演",$E28)))),"◆","")</f>
        <v/>
      </c>
      <c r="M28" s="55" t="str">
        <f aca="false">IF(AND(M$7=$I28,OR(ISNUMBER(SEARCH("採用",$E28)),ISNUMBER(SEARCH("総務",$E28)),ISNUMBER(SEARCH("工場長",$E28)),ISNUMBER(SEARCH("社長",$E28)),ISNUMBER(SEARCH("出演",$E28)))),"◆","")</f>
        <v/>
      </c>
      <c r="N28" s="55" t="str">
        <f aca="false">IF(AND(N$7=$I28,OR(ISNUMBER(SEARCH("採用",$E28)),ISNUMBER(SEARCH("総務",$E28)),ISNUMBER(SEARCH("工場長",$E28)),ISNUMBER(SEARCH("社長",$E28)),ISNUMBER(SEARCH("出演",$E28)))),"◆","")</f>
        <v/>
      </c>
      <c r="O28" s="55" t="str">
        <f aca="false">IF(AND(O$7=$I28,OR(ISNUMBER(SEARCH("採用",$E28)),ISNUMBER(SEARCH("総務",$E28)),ISNUMBER(SEARCH("工場長",$E28)),ISNUMBER(SEARCH("社長",$E28)),ISNUMBER(SEARCH("出演",$E28)))),"◆","")</f>
        <v/>
      </c>
      <c r="P28" s="55" t="str">
        <f aca="false">IF(AND(P$7=$I28,OR(ISNUMBER(SEARCH("採用",$E28)),ISNUMBER(SEARCH("総務",$E28)),ISNUMBER(SEARCH("工場長",$E28)),ISNUMBER(SEARCH("社長",$E28)),ISNUMBER(SEARCH("出演",$E28)))),"◆","")</f>
        <v/>
      </c>
      <c r="Q28" s="55" t="str">
        <f aca="false">IF(AND(Q$7=$I28,OR(ISNUMBER(SEARCH("採用",$E28)),ISNUMBER(SEARCH("総務",$E28)),ISNUMBER(SEARCH("工場長",$E28)),ISNUMBER(SEARCH("社長",$E28)),ISNUMBER(SEARCH("出演",$E28)))),"◆","")</f>
        <v/>
      </c>
      <c r="R28" s="55" t="str">
        <f aca="false">IF(AND(R$7=$I28,OR(ISNUMBER(SEARCH("採用",$E28)),ISNUMBER(SEARCH("総務",$E28)),ISNUMBER(SEARCH("工場長",$E28)),ISNUMBER(SEARCH("社長",$E28)),ISNUMBER(SEARCH("出演",$E28)))),"◆","")</f>
        <v/>
      </c>
      <c r="S28" s="55" t="str">
        <f aca="false">IF(AND(S$7=$I28,OR(ISNUMBER(SEARCH("採用",$E28)),ISNUMBER(SEARCH("総務",$E28)),ISNUMBER(SEARCH("工場長",$E28)),ISNUMBER(SEARCH("社長",$E28)),ISNUMBER(SEARCH("出演",$E28)))),"◆","")</f>
        <v/>
      </c>
      <c r="T28" s="55" t="str">
        <f aca="false">IF(AND(T$7=$I28,OR(ISNUMBER(SEARCH("採用",$E28)),ISNUMBER(SEARCH("総務",$E28)),ISNUMBER(SEARCH("工場長",$E28)),ISNUMBER(SEARCH("社長",$E28)),ISNUMBER(SEARCH("出演",$E28)))),"◆","")</f>
        <v/>
      </c>
      <c r="U28" s="55" t="str">
        <f aca="false">IF(AND(U$7=$I28,OR(ISNUMBER(SEARCH("採用",$E28)),ISNUMBER(SEARCH("総務",$E28)),ISNUMBER(SEARCH("工場長",$E28)),ISNUMBER(SEARCH("社長",$E28)),ISNUMBER(SEARCH("出演",$E28)))),"◆","")</f>
        <v/>
      </c>
      <c r="V28" s="55" t="str">
        <f aca="false">IF(AND(V$7=$I28,OR(ISNUMBER(SEARCH("採用",$E28)),ISNUMBER(SEARCH("総務",$E28)),ISNUMBER(SEARCH("工場長",$E28)),ISNUMBER(SEARCH("社長",$E28)),ISNUMBER(SEARCH("出演",$E28)))),"◆","")</f>
        <v/>
      </c>
      <c r="W28" s="55" t="str">
        <f aca="false">IF(AND(W$7=$I28,OR(ISNUMBER(SEARCH("採用",$E28)),ISNUMBER(SEARCH("総務",$E28)),ISNUMBER(SEARCH("工場長",$E28)),ISNUMBER(SEARCH("社長",$E28)),ISNUMBER(SEARCH("出演",$E28)))),"◆","")</f>
        <v/>
      </c>
      <c r="X28" s="55" t="str">
        <f aca="false">IF(AND(X$7=$I28,OR(ISNUMBER(SEARCH("採用",$E28)),ISNUMBER(SEARCH("総務",$E28)),ISNUMBER(SEARCH("工場長",$E28)),ISNUMBER(SEARCH("社長",$E28)),ISNUMBER(SEARCH("出演",$E28)))),"◆","")</f>
        <v/>
      </c>
      <c r="Y28" s="55" t="str">
        <f aca="false">IF(AND(Y$7=$I28,OR(ISNUMBER(SEARCH("採用",$E28)),ISNUMBER(SEARCH("総務",$E28)),ISNUMBER(SEARCH("工場長",$E28)),ISNUMBER(SEARCH("社長",$E28)),ISNUMBER(SEARCH("出演",$E28)))),"◆","")</f>
        <v/>
      </c>
      <c r="Z28" s="55" t="str">
        <f aca="false">IF(AND(Z$7=$I28,OR(ISNUMBER(SEARCH("採用",$E28)),ISNUMBER(SEARCH("総務",$E28)),ISNUMBER(SEARCH("工場長",$E28)),ISNUMBER(SEARCH("社長",$E28)),ISNUMBER(SEARCH("出演",$E28)))),"◆","")</f>
        <v/>
      </c>
      <c r="AA28" s="55" t="str">
        <f aca="false">IF(AND(AA$7=$I28,OR(ISNUMBER(SEARCH("採用",$E28)),ISNUMBER(SEARCH("総務",$E28)),ISNUMBER(SEARCH("工場長",$E28)),ISNUMBER(SEARCH("社長",$E28)),ISNUMBER(SEARCH("出演",$E28)))),"◆","")</f>
        <v/>
      </c>
      <c r="AB28" s="55" t="str">
        <f aca="false">IF(AND(AB$7=$I28,OR(ISNUMBER(SEARCH("採用",$E28)),ISNUMBER(SEARCH("総務",$E28)),ISNUMBER(SEARCH("工場長",$E28)),ISNUMBER(SEARCH("社長",$E28)),ISNUMBER(SEARCH("出演",$E28)))),"◆","")</f>
        <v/>
      </c>
      <c r="AC28" s="55" t="str">
        <f aca="false">IF(AND(AC$7=$I28,OR(ISNUMBER(SEARCH("採用",$E28)),ISNUMBER(SEARCH("総務",$E28)),ISNUMBER(SEARCH("工場長",$E28)),ISNUMBER(SEARCH("社長",$E28)),ISNUMBER(SEARCH("出演",$E28)))),"◆","")</f>
        <v/>
      </c>
      <c r="AD28" s="55" t="str">
        <f aca="false">IF(AND(AD$7=$I28,OR(ISNUMBER(SEARCH("採用",$E28)),ISNUMBER(SEARCH("総務",$E28)),ISNUMBER(SEARCH("工場長",$E28)),ISNUMBER(SEARCH("社長",$E28)),ISNUMBER(SEARCH("出演",$E28)))),"◆","")</f>
        <v/>
      </c>
      <c r="AE28" s="55" t="str">
        <f aca="false">IF(AND(AE$7=$I28,OR(ISNUMBER(SEARCH("採用",$E28)),ISNUMBER(SEARCH("総務",$E28)),ISNUMBER(SEARCH("工場長",$E28)),ISNUMBER(SEARCH("社長",$E28)),ISNUMBER(SEARCH("出演",$E28)))),"◆","")</f>
        <v/>
      </c>
      <c r="AF28" s="55" t="str">
        <f aca="false">IF(AND(AF$7=$I28,OR(ISNUMBER(SEARCH("採用",$E28)),ISNUMBER(SEARCH("総務",$E28)),ISNUMBER(SEARCH("工場長",$E28)),ISNUMBER(SEARCH("社長",$E28)),ISNUMBER(SEARCH("出演",$E28)))),"◆","")</f>
        <v/>
      </c>
      <c r="AG28" s="55" t="str">
        <f aca="false">IF(AND(AG$7=$I28,OR(ISNUMBER(SEARCH("採用",$E28)),ISNUMBER(SEARCH("総務",$E28)),ISNUMBER(SEARCH("工場長",$E28)),ISNUMBER(SEARCH("社長",$E28)),ISNUMBER(SEARCH("出演",$E28)))),"◆","")</f>
        <v/>
      </c>
      <c r="AH28" s="55" t="str">
        <f aca="false">IF(AND(AH$7=$I28,OR(ISNUMBER(SEARCH("採用",$E28)),ISNUMBER(SEARCH("総務",$E28)),ISNUMBER(SEARCH("工場長",$E28)),ISNUMBER(SEARCH("社長",$E28)),ISNUMBER(SEARCH("出演",$E28)))),"◆","")</f>
        <v/>
      </c>
      <c r="AI28" s="55" t="str">
        <f aca="false">IF(AND(AI$7=$I28,OR(ISNUMBER(SEARCH("採用",$E28)),ISNUMBER(SEARCH("総務",$E28)),ISNUMBER(SEARCH("工場長",$E28)),ISNUMBER(SEARCH("社長",$E28)),ISNUMBER(SEARCH("出演",$E28)))),"◆","")</f>
        <v/>
      </c>
      <c r="AJ28" s="55" t="str">
        <f aca="false">IF(AND(AJ$7=$I28,OR(ISNUMBER(SEARCH("採用",$E28)),ISNUMBER(SEARCH("総務",$E28)),ISNUMBER(SEARCH("工場長",$E28)),ISNUMBER(SEARCH("社長",$E28)),ISNUMBER(SEARCH("出演",$E28)))),"◆","")</f>
        <v/>
      </c>
      <c r="AK28" s="55" t="str">
        <f aca="false">IF(AND(AK$7=$I28,OR(ISNUMBER(SEARCH("採用",$E28)),ISNUMBER(SEARCH("総務",$E28)),ISNUMBER(SEARCH("工場長",$E28)),ISNUMBER(SEARCH("社長",$E28)),ISNUMBER(SEARCH("出演",$E28)))),"◆","")</f>
        <v/>
      </c>
      <c r="AL28" s="55" t="str">
        <f aca="false">IF(AND(AL$7=$I28,OR(ISNUMBER(SEARCH("採用",$E28)),ISNUMBER(SEARCH("総務",$E28)),ISNUMBER(SEARCH("工場長",$E28)),ISNUMBER(SEARCH("社長",$E28)),ISNUMBER(SEARCH("出演",$E28)))),"◆","")</f>
        <v/>
      </c>
      <c r="AM28" s="55" t="str">
        <f aca="false">IF(AND(AM$7=$I28,OR(ISNUMBER(SEARCH("採用",$E28)),ISNUMBER(SEARCH("総務",$E28)),ISNUMBER(SEARCH("工場長",$E28)),ISNUMBER(SEARCH("社長",$E28)),ISNUMBER(SEARCH("出演",$E28)))),"◆","")</f>
        <v/>
      </c>
      <c r="AN28" s="55" t="str">
        <f aca="false">IF(AND(AN$7=$I28,OR(ISNUMBER(SEARCH("採用",$E28)),ISNUMBER(SEARCH("総務",$E28)),ISNUMBER(SEARCH("工場長",$E28)),ISNUMBER(SEARCH("社長",$E28)),ISNUMBER(SEARCH("出演",$E28)))),"◆","")</f>
        <v/>
      </c>
      <c r="AO28" s="55" t="str">
        <f aca="false">IF(AND(AO$7=$I28,OR(ISNUMBER(SEARCH("採用",$E28)),ISNUMBER(SEARCH("総務",$E28)),ISNUMBER(SEARCH("工場長",$E28)),ISNUMBER(SEARCH("社長",$E28)),ISNUMBER(SEARCH("出演",$E28)))),"◆","")</f>
        <v/>
      </c>
      <c r="AP28" s="55" t="str">
        <f aca="false">IF(AND(AP$7=$I28,OR(ISNUMBER(SEARCH("採用",$E28)),ISNUMBER(SEARCH("総務",$E28)),ISNUMBER(SEARCH("工場長",$E28)),ISNUMBER(SEARCH("社長",$E28)),ISNUMBER(SEARCH("出演",$E28)))),"◆","")</f>
        <v/>
      </c>
      <c r="AQ28" s="55" t="str">
        <f aca="false">IF(AND(AQ$7=$I28,OR(ISNUMBER(SEARCH("採用",$E28)),ISNUMBER(SEARCH("総務",$E28)),ISNUMBER(SEARCH("工場長",$E28)),ISNUMBER(SEARCH("社長",$E28)),ISNUMBER(SEARCH("出演",$E28)))),"◆","")</f>
        <v/>
      </c>
      <c r="AR28" s="55" t="str">
        <f aca="false">IF(AND(AR$7=$I28,OR(ISNUMBER(SEARCH("採用",$E28)),ISNUMBER(SEARCH("総務",$E28)),ISNUMBER(SEARCH("工場長",$E28)),ISNUMBER(SEARCH("社長",$E28)),ISNUMBER(SEARCH("出演",$E28)))),"◆","")</f>
        <v/>
      </c>
      <c r="AS28" s="55" t="str">
        <f aca="false">IF(AND(AS$7=$I28,OR(ISNUMBER(SEARCH("採用",$E28)),ISNUMBER(SEARCH("総務",$E28)),ISNUMBER(SEARCH("工場長",$E28)),ISNUMBER(SEARCH("社長",$E28)),ISNUMBER(SEARCH("出演",$E28)))),"◆","")</f>
        <v/>
      </c>
      <c r="AT28" s="55" t="str">
        <f aca="false">IF(AND(AT$7=$I28,OR(ISNUMBER(SEARCH("採用",$E28)),ISNUMBER(SEARCH("総務",$E28)),ISNUMBER(SEARCH("工場長",$E28)),ISNUMBER(SEARCH("社長",$E28)),ISNUMBER(SEARCH("出演",$E28)))),"◆","")</f>
        <v/>
      </c>
      <c r="AU28" s="55" t="str">
        <f aca="false">IF(AND(AU$7=$I28,OR(ISNUMBER(SEARCH("採用",$E28)),ISNUMBER(SEARCH("総務",$E28)),ISNUMBER(SEARCH("工場長",$E28)),ISNUMBER(SEARCH("社長",$E28)),ISNUMBER(SEARCH("出演",$E28)))),"◆","")</f>
        <v/>
      </c>
      <c r="AV28" s="55" t="str">
        <f aca="false">IF(AND(AV$7=$I28,OR(ISNUMBER(SEARCH("採用",$E28)),ISNUMBER(SEARCH("総務",$E28)),ISNUMBER(SEARCH("工場長",$E28)),ISNUMBER(SEARCH("社長",$E28)),ISNUMBER(SEARCH("出演",$E28)))),"◆","")</f>
        <v/>
      </c>
      <c r="AW28" s="55" t="str">
        <f aca="false">IF(AND(AW$7=$I28,OR(ISNUMBER(SEARCH("採用",$E28)),ISNUMBER(SEARCH("総務",$E28)),ISNUMBER(SEARCH("工場長",$E28)),ISNUMBER(SEARCH("社長",$E28)),ISNUMBER(SEARCH("出演",$E28)))),"◆","")</f>
        <v/>
      </c>
      <c r="AX28" s="55" t="str">
        <f aca="false">IF(AND(AX$7=$I28,OR(ISNUMBER(SEARCH("採用",$E28)),ISNUMBER(SEARCH("総務",$E28)),ISNUMBER(SEARCH("工場長",$E28)),ISNUMBER(SEARCH("社長",$E28)),ISNUMBER(SEARCH("出演",$E28)))),"◆","")</f>
        <v/>
      </c>
      <c r="AY28" s="55" t="str">
        <f aca="false">IF(AND(AY$7=$I28,OR(ISNUMBER(SEARCH("採用",$E28)),ISNUMBER(SEARCH("総務",$E28)),ISNUMBER(SEARCH("工場長",$E28)),ISNUMBER(SEARCH("社長",$E28)),ISNUMBER(SEARCH("出演",$E28)))),"◆","")</f>
        <v/>
      </c>
      <c r="AZ28" s="55" t="str">
        <f aca="false">IF(AND(AZ$7=$I28,OR(ISNUMBER(SEARCH("採用",$E28)),ISNUMBER(SEARCH("総務",$E28)),ISNUMBER(SEARCH("工場長",$E28)),ISNUMBER(SEARCH("社長",$E28)),ISNUMBER(SEARCH("出演",$E28)))),"◆","")</f>
        <v/>
      </c>
      <c r="BA28" s="55" t="str">
        <f aca="false">IF(AND(BA$7=$I28,OR(ISNUMBER(SEARCH("採用",$E28)),ISNUMBER(SEARCH("総務",$E28)),ISNUMBER(SEARCH("工場長",$E28)),ISNUMBER(SEARCH("社長",$E28)),ISNUMBER(SEARCH("出演",$E28)))),"◆","")</f>
        <v/>
      </c>
      <c r="BB28" s="55" t="str">
        <f aca="false">IF(AND(BB$7=$I28,OR(ISNUMBER(SEARCH("採用",$E28)),ISNUMBER(SEARCH("総務",$E28)),ISNUMBER(SEARCH("工場長",$E28)),ISNUMBER(SEARCH("社長",$E28)),ISNUMBER(SEARCH("出演",$E28)))),"◆","")</f>
        <v/>
      </c>
      <c r="BC28" s="55" t="str">
        <f aca="false">IF(AND(BC$7=$I28,OR(ISNUMBER(SEARCH("採用",$E28)),ISNUMBER(SEARCH("総務",$E28)),ISNUMBER(SEARCH("工場長",$E28)),ISNUMBER(SEARCH("社長",$E28)),ISNUMBER(SEARCH("出演",$E28)))),"◆","")</f>
        <v/>
      </c>
      <c r="BD28" s="55" t="str">
        <f aca="false">IF(AND(BD$7=$I28,OR(ISNUMBER(SEARCH("採用",$E28)),ISNUMBER(SEARCH("総務",$E28)),ISNUMBER(SEARCH("工場長",$E28)),ISNUMBER(SEARCH("社長",$E28)),ISNUMBER(SEARCH("出演",$E28)))),"◆","")</f>
        <v/>
      </c>
      <c r="BE28" s="55" t="str">
        <f aca="false">IF(AND(BE$7=$I28,OR(ISNUMBER(SEARCH("採用",$E28)),ISNUMBER(SEARCH("総務",$E28)),ISNUMBER(SEARCH("工場長",$E28)),ISNUMBER(SEARCH("社長",$E28)),ISNUMBER(SEARCH("出演",$E28)))),"◆","")</f>
        <v/>
      </c>
      <c r="BF28" s="55" t="str">
        <f aca="false">IF(AND(BF$7=$I28,OR(ISNUMBER(SEARCH("採用",$E28)),ISNUMBER(SEARCH("総務",$E28)),ISNUMBER(SEARCH("工場長",$E28)),ISNUMBER(SEARCH("社長",$E28)),ISNUMBER(SEARCH("出演",$E28)))),"◆","")</f>
        <v/>
      </c>
      <c r="BG28" s="55" t="str">
        <f aca="false">IF(AND(BG$7=$I28,OR(ISNUMBER(SEARCH("採用",$E28)),ISNUMBER(SEARCH("総務",$E28)),ISNUMBER(SEARCH("工場長",$E28)),ISNUMBER(SEARCH("社長",$E28)),ISNUMBER(SEARCH("出演",$E28)))),"◆","")</f>
        <v/>
      </c>
      <c r="BH28" s="55" t="str">
        <f aca="false">IF(AND(BH$7=$I28,OR(ISNUMBER(SEARCH("採用",$E28)),ISNUMBER(SEARCH("総務",$E28)),ISNUMBER(SEARCH("工場長",$E28)),ISNUMBER(SEARCH("社長",$E28)),ISNUMBER(SEARCH("出演",$E28)))),"◆","")</f>
        <v/>
      </c>
      <c r="BI28" s="55" t="str">
        <f aca="false">IF(AND(BI$7=$I28,OR(ISNUMBER(SEARCH("採用",$E28)),ISNUMBER(SEARCH("総務",$E28)),ISNUMBER(SEARCH("工場長",$E28)),ISNUMBER(SEARCH("社長",$E28)),ISNUMBER(SEARCH("出演",$E28)))),"◆","")</f>
        <v/>
      </c>
      <c r="BJ28" s="55" t="str">
        <f aca="false">IF(AND(BJ$7=$I28,OR(ISNUMBER(SEARCH("採用",$E28)),ISNUMBER(SEARCH("総務",$E28)),ISNUMBER(SEARCH("工場長",$E28)),ISNUMBER(SEARCH("社長",$E28)),ISNUMBER(SEARCH("出演",$E28)))),"◆","")</f>
        <v/>
      </c>
      <c r="BK28" s="55" t="str">
        <f aca="false">IF(AND(BK$7=$I28,OR(ISNUMBER(SEARCH("採用",$E28)),ISNUMBER(SEARCH("総務",$E28)),ISNUMBER(SEARCH("工場長",$E28)),ISNUMBER(SEARCH("社長",$E28)),ISNUMBER(SEARCH("出演",$E28)))),"◆","")</f>
        <v/>
      </c>
      <c r="BL28" s="55" t="str">
        <f aca="false">IF(AND(BL$7=$I28,OR(ISNUMBER(SEARCH("採用",$E28)),ISNUMBER(SEARCH("総務",$E28)),ISNUMBER(SEARCH("工場長",$E28)),ISNUMBER(SEARCH("社長",$E28)),ISNUMBER(SEARCH("出演",$E28)))),"◆","")</f>
        <v/>
      </c>
      <c r="BM28" s="55" t="str">
        <f aca="false">IF(AND(BM$7=$I28,OR(ISNUMBER(SEARCH("採用",$E28)),ISNUMBER(SEARCH("総務",$E28)),ISNUMBER(SEARCH("工場長",$E28)),ISNUMBER(SEARCH("社長",$E28)),ISNUMBER(SEARCH("出演",$E28)))),"◆","")</f>
        <v/>
      </c>
      <c r="BN28" s="55" t="str">
        <f aca="false">IF(AND(BN$7=$I28,OR(ISNUMBER(SEARCH("採用",$E28)),ISNUMBER(SEARCH("総務",$E28)),ISNUMBER(SEARCH("工場長",$E28)),ISNUMBER(SEARCH("社長",$E28)),ISNUMBER(SEARCH("出演",$E28)))),"◆","")</f>
        <v/>
      </c>
      <c r="BO28" s="55" t="str">
        <f aca="false">IF(AND(BO$7=$I28,OR(ISNUMBER(SEARCH("採用",$E28)),ISNUMBER(SEARCH("総務",$E28)),ISNUMBER(SEARCH("工場長",$E28)),ISNUMBER(SEARCH("社長",$E28)),ISNUMBER(SEARCH("出演",$E28)))),"◆","")</f>
        <v/>
      </c>
      <c r="BP28" s="55" t="str">
        <f aca="false">IF(AND(BP$7=$I28,OR(ISNUMBER(SEARCH("採用",$E28)),ISNUMBER(SEARCH("総務",$E28)),ISNUMBER(SEARCH("工場長",$E28)),ISNUMBER(SEARCH("社長",$E28)),ISNUMBER(SEARCH("出演",$E28)))),"◆","")</f>
        <v/>
      </c>
      <c r="BQ28" s="55" t="str">
        <f aca="false">IF(AND(BQ$7=$I28,OR(ISNUMBER(SEARCH("採用",$E28)),ISNUMBER(SEARCH("総務",$E28)),ISNUMBER(SEARCH("工場長",$E28)),ISNUMBER(SEARCH("社長",$E28)),ISNUMBER(SEARCH("出演",$E28)))),"◆","")</f>
        <v/>
      </c>
      <c r="BR28" s="55" t="str">
        <f aca="false">IF(AND(BR$7=$I28,OR(ISNUMBER(SEARCH("採用",$E28)),ISNUMBER(SEARCH("総務",$E28)),ISNUMBER(SEARCH("工場長",$E28)),ISNUMBER(SEARCH("社長",$E28)),ISNUMBER(SEARCH("出演",$E28)))),"◆","")</f>
        <v/>
      </c>
      <c r="BS28" s="55" t="str">
        <f aca="false">IF(AND(BS$7=$I28,OR(ISNUMBER(SEARCH("採用",$E28)),ISNUMBER(SEARCH("総務",$E28)),ISNUMBER(SEARCH("工場長",$E28)),ISNUMBER(SEARCH("社長",$E28)),ISNUMBER(SEARCH("出演",$E28)))),"◆","")</f>
        <v/>
      </c>
      <c r="BT28" s="55" t="str">
        <f aca="false">IF(AND(BT$7=$I28,OR(ISNUMBER(SEARCH("採用",$E28)),ISNUMBER(SEARCH("総務",$E28)),ISNUMBER(SEARCH("工場長",$E28)),ISNUMBER(SEARCH("社長",$E28)),ISNUMBER(SEARCH("出演",$E28)))),"◆","")</f>
        <v/>
      </c>
      <c r="BU28" s="55" t="str">
        <f aca="false">IF(AND(BU$7=$I28,OR(ISNUMBER(SEARCH("採用",$E28)),ISNUMBER(SEARCH("総務",$E28)),ISNUMBER(SEARCH("工場長",$E28)),ISNUMBER(SEARCH("社長",$E28)),ISNUMBER(SEARCH("出演",$E28)))),"◆","")</f>
        <v/>
      </c>
      <c r="BV28" s="55" t="str">
        <f aca="false">IF(AND(BV$7=$I28,OR(ISNUMBER(SEARCH("採用",$E28)),ISNUMBER(SEARCH("総務",$E28)),ISNUMBER(SEARCH("工場長",$E28)),ISNUMBER(SEARCH("社長",$E28)),ISNUMBER(SEARCH("出演",$E28)))),"◆","")</f>
        <v/>
      </c>
      <c r="BW28" s="55" t="str">
        <f aca="false">IF(AND(BW$7=$I28,OR(ISNUMBER(SEARCH("採用",$E28)),ISNUMBER(SEARCH("総務",$E28)),ISNUMBER(SEARCH("工場長",$E28)),ISNUMBER(SEARCH("社長",$E28)),ISNUMBER(SEARCH("出演",$E28)))),"◆","")</f>
        <v/>
      </c>
      <c r="BX28" s="55" t="str">
        <f aca="false">IF(AND(BX$7=$I28,OR(ISNUMBER(SEARCH("採用",$E28)),ISNUMBER(SEARCH("総務",$E28)),ISNUMBER(SEARCH("工場長",$E28)),ISNUMBER(SEARCH("社長",$E28)),ISNUMBER(SEARCH("出演",$E28)))),"◆","")</f>
        <v/>
      </c>
      <c r="BY28" s="55" t="str">
        <f aca="false">IF(AND(BY$7=$I28,OR(ISNUMBER(SEARCH("採用",$E28)),ISNUMBER(SEARCH("総務",$E28)),ISNUMBER(SEARCH("工場長",$E28)),ISNUMBER(SEARCH("社長",$E28)),ISNUMBER(SEARCH("出演",$E28)))),"◆","")</f>
        <v/>
      </c>
      <c r="BZ28" s="55" t="str">
        <f aca="false">IF(AND(BZ$7=$I28,OR(ISNUMBER(SEARCH("採用",$E28)),ISNUMBER(SEARCH("総務",$E28)),ISNUMBER(SEARCH("工場長",$E28)),ISNUMBER(SEARCH("社長",$E28)),ISNUMBER(SEARCH("出演",$E28)))),"◆","")</f>
        <v/>
      </c>
      <c r="CA28" s="55" t="str">
        <f aca="false">IF(AND(CA$7=$I28,OR(ISNUMBER(SEARCH("採用",$E28)),ISNUMBER(SEARCH("総務",$E28)),ISNUMBER(SEARCH("工場長",$E28)),ISNUMBER(SEARCH("社長",$E28)),ISNUMBER(SEARCH("出演",$E28)))),"◆","")</f>
        <v/>
      </c>
      <c r="CB28" s="55" t="str">
        <f aca="false">IF(AND(CB$7=$I28,OR(ISNUMBER(SEARCH("採用",$E28)),ISNUMBER(SEARCH("総務",$E28)),ISNUMBER(SEARCH("工場長",$E28)),ISNUMBER(SEARCH("社長",$E28)),ISNUMBER(SEARCH("出演",$E28)))),"◆","")</f>
        <v/>
      </c>
      <c r="CC28" s="55" t="str">
        <f aca="false">IF(AND(CC$7=$I28,OR(ISNUMBER(SEARCH("採用",$E28)),ISNUMBER(SEARCH("総務",$E28)),ISNUMBER(SEARCH("工場長",$E28)),ISNUMBER(SEARCH("社長",$E28)),ISNUMBER(SEARCH("出演",$E28)))),"◆","")</f>
        <v/>
      </c>
      <c r="CD28" s="55" t="str">
        <f aca="false">IF(AND(CD$7=$I28,OR(ISNUMBER(SEARCH("採用",$E28)),ISNUMBER(SEARCH("総務",$E28)),ISNUMBER(SEARCH("工場長",$E28)),ISNUMBER(SEARCH("社長",$E28)),ISNUMBER(SEARCH("出演",$E28)))),"◆","")</f>
        <v/>
      </c>
      <c r="CE28" s="55" t="str">
        <f aca="false">IF(AND(CE$7=$I28,OR(ISNUMBER(SEARCH("採用",$E28)),ISNUMBER(SEARCH("総務",$E28)),ISNUMBER(SEARCH("工場長",$E28)),ISNUMBER(SEARCH("社長",$E28)),ISNUMBER(SEARCH("出演",$E28)))),"◆","")</f>
        <v/>
      </c>
      <c r="CF28" s="55" t="str">
        <f aca="false">IF(AND(CF$7=$I28,OR(ISNUMBER(SEARCH("採用",$E28)),ISNUMBER(SEARCH("総務",$E28)),ISNUMBER(SEARCH("工場長",$E28)),ISNUMBER(SEARCH("社長",$E28)),ISNUMBER(SEARCH("出演",$E28)))),"◆","")</f>
        <v/>
      </c>
      <c r="CG28" s="55" t="str">
        <f aca="false">IF(AND(CG$7=$I28,OR(ISNUMBER(SEARCH("採用",$E28)),ISNUMBER(SEARCH("総務",$E28)),ISNUMBER(SEARCH("工場長",$E28)),ISNUMBER(SEARCH("社長",$E28)),ISNUMBER(SEARCH("出演",$E28)))),"◆","")</f>
        <v/>
      </c>
      <c r="CH28" s="55" t="str">
        <f aca="false">IF(AND(CH$7=$I28,OR(ISNUMBER(SEARCH("採用",$E28)),ISNUMBER(SEARCH("総務",$E28)),ISNUMBER(SEARCH("工場長",$E28)),ISNUMBER(SEARCH("社長",$E28)),ISNUMBER(SEARCH("出演",$E28)))),"◆","")</f>
        <v/>
      </c>
      <c r="CI28" s="55" t="str">
        <f aca="false">IF(AND(CI$7=$I28,OR(ISNUMBER(SEARCH("採用",$E28)),ISNUMBER(SEARCH("総務",$E28)),ISNUMBER(SEARCH("工場長",$E28)),ISNUMBER(SEARCH("社長",$E28)),ISNUMBER(SEARCH("出演",$E28)))),"◆","")</f>
        <v/>
      </c>
      <c r="CJ28" s="55" t="str">
        <f aca="false">IF(AND(CJ$7=$I28,OR(ISNUMBER(SEARCH("採用",$E28)),ISNUMBER(SEARCH("総務",$E28)),ISNUMBER(SEARCH("工場長",$E28)),ISNUMBER(SEARCH("社長",$E28)),ISNUMBER(SEARCH("出演",$E28)))),"◆","")</f>
        <v/>
      </c>
      <c r="CK28" s="55" t="str">
        <f aca="false">IF(AND(CK$7=$I28,OR(ISNUMBER(SEARCH("採用",$E28)),ISNUMBER(SEARCH("総務",$E28)),ISNUMBER(SEARCH("工場長",$E28)),ISNUMBER(SEARCH("社長",$E28)),ISNUMBER(SEARCH("出演",$E28)))),"◆","")</f>
        <v/>
      </c>
      <c r="CL28" s="55" t="str">
        <f aca="false">IF(AND(CL$7=$I28,OR(ISNUMBER(SEARCH("採用",$E28)),ISNUMBER(SEARCH("総務",$E28)),ISNUMBER(SEARCH("工場長",$E28)),ISNUMBER(SEARCH("社長",$E28)),ISNUMBER(SEARCH("出演",$E28)))),"◆","")</f>
        <v/>
      </c>
      <c r="CM28" s="55" t="str">
        <f aca="false">IF(AND(CM$7=$I28,OR(ISNUMBER(SEARCH("採用",$E28)),ISNUMBER(SEARCH("総務",$E28)),ISNUMBER(SEARCH("工場長",$E28)),ISNUMBER(SEARCH("社長",$E28)),ISNUMBER(SEARCH("出演",$E28)))),"◆","")</f>
        <v/>
      </c>
      <c r="CN28" s="55" t="str">
        <f aca="false">IF(AND(CN$7=$I28,OR(ISNUMBER(SEARCH("採用",$E28)),ISNUMBER(SEARCH("総務",$E28)),ISNUMBER(SEARCH("工場長",$E28)),ISNUMBER(SEARCH("社長",$E28)),ISNUMBER(SEARCH("出演",$E28)))),"◆","")</f>
        <v/>
      </c>
      <c r="CO28" s="55" t="str">
        <f aca="false">IF(AND(CO$7=$I28,OR(ISNUMBER(SEARCH("採用",$E28)),ISNUMBER(SEARCH("総務",$E28)),ISNUMBER(SEARCH("工場長",$E28)),ISNUMBER(SEARCH("社長",$E28)),ISNUMBER(SEARCH("出演",$E28)))),"◆","")</f>
        <v/>
      </c>
      <c r="CP28" s="55" t="str">
        <f aca="false">IF(AND(CP$7=$I28,OR(ISNUMBER(SEARCH("採用",$E28)),ISNUMBER(SEARCH("総務",$E28)),ISNUMBER(SEARCH("工場長",$E28)),ISNUMBER(SEARCH("社長",$E28)),ISNUMBER(SEARCH("出演",$E28)))),"◆","")</f>
        <v/>
      </c>
    </row>
    <row r="29" customFormat="false" ht="25.5" hidden="false" customHeight="true" outlineLevel="0" collapsed="false">
      <c r="A29" s="48" t="str">
        <f aca="false">制作工程表!A23</f>
        <v>T15</v>
      </c>
      <c r="B29" s="49" t="str">
        <f aca="false">制作工程表!B23</f>
        <v>デザイン確認</v>
      </c>
      <c r="C29" s="50" t="str">
        <f aca="false">制作工程表!C23</f>
        <v>デザインのご確認</v>
      </c>
      <c r="D29" s="51" t="str">
        <f aca="false">制作工程表!D23</f>
        <v>採用担当</v>
      </c>
      <c r="E29" s="51" t="str">
        <f aca="false">制作工程表!E23</f>
        <v>社長</v>
      </c>
      <c r="F29" s="52" t="str">
        <f aca="false">IF(制作工程表!B23="取材撮影","撮影",IF(OR(制作工程表!D23="採用担当",制作工程表!D23="総務窓口",制作工程表!D23="工場長"),"企業","制作"))</f>
        <v>企業</v>
      </c>
      <c r="G29" s="53" t="n">
        <f aca="false">制作工程表!G23</f>
        <v>46339</v>
      </c>
      <c r="H29" s="53" t="n">
        <f aca="false">制作工程表!H23</f>
        <v>46345</v>
      </c>
      <c r="I29" s="54" t="n">
        <f aca="false">制作工程表!I23</f>
        <v>46345</v>
      </c>
      <c r="J29" s="49" t="str">
        <f aca="false">制作工程表!K23</f>
        <v>未着手</v>
      </c>
      <c r="K29" s="55" t="str">
        <f aca="false">IF(AND(K$7=$I29,OR(ISNUMBER(SEARCH("採用",$E29)),ISNUMBER(SEARCH("総務",$E29)),ISNUMBER(SEARCH("工場長",$E29)),ISNUMBER(SEARCH("社長",$E29)),ISNUMBER(SEARCH("出演",$E29)))),"◆","")</f>
        <v/>
      </c>
      <c r="L29" s="55" t="str">
        <f aca="false">IF(AND(L$7=$I29,OR(ISNUMBER(SEARCH("採用",$E29)),ISNUMBER(SEARCH("総務",$E29)),ISNUMBER(SEARCH("工場長",$E29)),ISNUMBER(SEARCH("社長",$E29)),ISNUMBER(SEARCH("出演",$E29)))),"◆","")</f>
        <v/>
      </c>
      <c r="M29" s="55" t="str">
        <f aca="false">IF(AND(M$7=$I29,OR(ISNUMBER(SEARCH("採用",$E29)),ISNUMBER(SEARCH("総務",$E29)),ISNUMBER(SEARCH("工場長",$E29)),ISNUMBER(SEARCH("社長",$E29)),ISNUMBER(SEARCH("出演",$E29)))),"◆","")</f>
        <v/>
      </c>
      <c r="N29" s="55" t="str">
        <f aca="false">IF(AND(N$7=$I29,OR(ISNUMBER(SEARCH("採用",$E29)),ISNUMBER(SEARCH("総務",$E29)),ISNUMBER(SEARCH("工場長",$E29)),ISNUMBER(SEARCH("社長",$E29)),ISNUMBER(SEARCH("出演",$E29)))),"◆","")</f>
        <v/>
      </c>
      <c r="O29" s="55" t="str">
        <f aca="false">IF(AND(O$7=$I29,OR(ISNUMBER(SEARCH("採用",$E29)),ISNUMBER(SEARCH("総務",$E29)),ISNUMBER(SEARCH("工場長",$E29)),ISNUMBER(SEARCH("社長",$E29)),ISNUMBER(SEARCH("出演",$E29)))),"◆","")</f>
        <v/>
      </c>
      <c r="P29" s="55" t="str">
        <f aca="false">IF(AND(P$7=$I29,OR(ISNUMBER(SEARCH("採用",$E29)),ISNUMBER(SEARCH("総務",$E29)),ISNUMBER(SEARCH("工場長",$E29)),ISNUMBER(SEARCH("社長",$E29)),ISNUMBER(SEARCH("出演",$E29)))),"◆","")</f>
        <v/>
      </c>
      <c r="Q29" s="55" t="str">
        <f aca="false">IF(AND(Q$7=$I29,OR(ISNUMBER(SEARCH("採用",$E29)),ISNUMBER(SEARCH("総務",$E29)),ISNUMBER(SEARCH("工場長",$E29)),ISNUMBER(SEARCH("社長",$E29)),ISNUMBER(SEARCH("出演",$E29)))),"◆","")</f>
        <v/>
      </c>
      <c r="R29" s="55" t="str">
        <f aca="false">IF(AND(R$7=$I29,OR(ISNUMBER(SEARCH("採用",$E29)),ISNUMBER(SEARCH("総務",$E29)),ISNUMBER(SEARCH("工場長",$E29)),ISNUMBER(SEARCH("社長",$E29)),ISNUMBER(SEARCH("出演",$E29)))),"◆","")</f>
        <v/>
      </c>
      <c r="S29" s="55" t="str">
        <f aca="false">IF(AND(S$7=$I29,OR(ISNUMBER(SEARCH("採用",$E29)),ISNUMBER(SEARCH("総務",$E29)),ISNUMBER(SEARCH("工場長",$E29)),ISNUMBER(SEARCH("社長",$E29)),ISNUMBER(SEARCH("出演",$E29)))),"◆","")</f>
        <v/>
      </c>
      <c r="T29" s="55" t="str">
        <f aca="false">IF(AND(T$7=$I29,OR(ISNUMBER(SEARCH("採用",$E29)),ISNUMBER(SEARCH("総務",$E29)),ISNUMBER(SEARCH("工場長",$E29)),ISNUMBER(SEARCH("社長",$E29)),ISNUMBER(SEARCH("出演",$E29)))),"◆","")</f>
        <v/>
      </c>
      <c r="U29" s="55" t="str">
        <f aca="false">IF(AND(U$7=$I29,OR(ISNUMBER(SEARCH("採用",$E29)),ISNUMBER(SEARCH("総務",$E29)),ISNUMBER(SEARCH("工場長",$E29)),ISNUMBER(SEARCH("社長",$E29)),ISNUMBER(SEARCH("出演",$E29)))),"◆","")</f>
        <v/>
      </c>
      <c r="V29" s="55" t="str">
        <f aca="false">IF(AND(V$7=$I29,OR(ISNUMBER(SEARCH("採用",$E29)),ISNUMBER(SEARCH("総務",$E29)),ISNUMBER(SEARCH("工場長",$E29)),ISNUMBER(SEARCH("社長",$E29)),ISNUMBER(SEARCH("出演",$E29)))),"◆","")</f>
        <v/>
      </c>
      <c r="W29" s="55" t="str">
        <f aca="false">IF(AND(W$7=$I29,OR(ISNUMBER(SEARCH("採用",$E29)),ISNUMBER(SEARCH("総務",$E29)),ISNUMBER(SEARCH("工場長",$E29)),ISNUMBER(SEARCH("社長",$E29)),ISNUMBER(SEARCH("出演",$E29)))),"◆","")</f>
        <v/>
      </c>
      <c r="X29" s="55" t="str">
        <f aca="false">IF(AND(X$7=$I29,OR(ISNUMBER(SEARCH("採用",$E29)),ISNUMBER(SEARCH("総務",$E29)),ISNUMBER(SEARCH("工場長",$E29)),ISNUMBER(SEARCH("社長",$E29)),ISNUMBER(SEARCH("出演",$E29)))),"◆","")</f>
        <v/>
      </c>
      <c r="Y29" s="55" t="str">
        <f aca="false">IF(AND(Y$7=$I29,OR(ISNUMBER(SEARCH("採用",$E29)),ISNUMBER(SEARCH("総務",$E29)),ISNUMBER(SEARCH("工場長",$E29)),ISNUMBER(SEARCH("社長",$E29)),ISNUMBER(SEARCH("出演",$E29)))),"◆","")</f>
        <v/>
      </c>
      <c r="Z29" s="55" t="str">
        <f aca="false">IF(AND(Z$7=$I29,OR(ISNUMBER(SEARCH("採用",$E29)),ISNUMBER(SEARCH("総務",$E29)),ISNUMBER(SEARCH("工場長",$E29)),ISNUMBER(SEARCH("社長",$E29)),ISNUMBER(SEARCH("出演",$E29)))),"◆","")</f>
        <v/>
      </c>
      <c r="AA29" s="55" t="str">
        <f aca="false">IF(AND(AA$7=$I29,OR(ISNUMBER(SEARCH("採用",$E29)),ISNUMBER(SEARCH("総務",$E29)),ISNUMBER(SEARCH("工場長",$E29)),ISNUMBER(SEARCH("社長",$E29)),ISNUMBER(SEARCH("出演",$E29)))),"◆","")</f>
        <v/>
      </c>
      <c r="AB29" s="55" t="str">
        <f aca="false">IF(AND(AB$7=$I29,OR(ISNUMBER(SEARCH("採用",$E29)),ISNUMBER(SEARCH("総務",$E29)),ISNUMBER(SEARCH("工場長",$E29)),ISNUMBER(SEARCH("社長",$E29)),ISNUMBER(SEARCH("出演",$E29)))),"◆","")</f>
        <v/>
      </c>
      <c r="AC29" s="55" t="str">
        <f aca="false">IF(AND(AC$7=$I29,OR(ISNUMBER(SEARCH("採用",$E29)),ISNUMBER(SEARCH("総務",$E29)),ISNUMBER(SEARCH("工場長",$E29)),ISNUMBER(SEARCH("社長",$E29)),ISNUMBER(SEARCH("出演",$E29)))),"◆","")</f>
        <v/>
      </c>
      <c r="AD29" s="55" t="str">
        <f aca="false">IF(AND(AD$7=$I29,OR(ISNUMBER(SEARCH("採用",$E29)),ISNUMBER(SEARCH("総務",$E29)),ISNUMBER(SEARCH("工場長",$E29)),ISNUMBER(SEARCH("社長",$E29)),ISNUMBER(SEARCH("出演",$E29)))),"◆","")</f>
        <v/>
      </c>
      <c r="AE29" s="55" t="str">
        <f aca="false">IF(AND(AE$7=$I29,OR(ISNUMBER(SEARCH("採用",$E29)),ISNUMBER(SEARCH("総務",$E29)),ISNUMBER(SEARCH("工場長",$E29)),ISNUMBER(SEARCH("社長",$E29)),ISNUMBER(SEARCH("出演",$E29)))),"◆","")</f>
        <v/>
      </c>
      <c r="AF29" s="55" t="str">
        <f aca="false">IF(AND(AF$7=$I29,OR(ISNUMBER(SEARCH("採用",$E29)),ISNUMBER(SEARCH("総務",$E29)),ISNUMBER(SEARCH("工場長",$E29)),ISNUMBER(SEARCH("社長",$E29)),ISNUMBER(SEARCH("出演",$E29)))),"◆","")</f>
        <v/>
      </c>
      <c r="AG29" s="55" t="str">
        <f aca="false">IF(AND(AG$7=$I29,OR(ISNUMBER(SEARCH("採用",$E29)),ISNUMBER(SEARCH("総務",$E29)),ISNUMBER(SEARCH("工場長",$E29)),ISNUMBER(SEARCH("社長",$E29)),ISNUMBER(SEARCH("出演",$E29)))),"◆","")</f>
        <v/>
      </c>
      <c r="AH29" s="55" t="str">
        <f aca="false">IF(AND(AH$7=$I29,OR(ISNUMBER(SEARCH("採用",$E29)),ISNUMBER(SEARCH("総務",$E29)),ISNUMBER(SEARCH("工場長",$E29)),ISNUMBER(SEARCH("社長",$E29)),ISNUMBER(SEARCH("出演",$E29)))),"◆","")</f>
        <v/>
      </c>
      <c r="AI29" s="55" t="str">
        <f aca="false">IF(AND(AI$7=$I29,OR(ISNUMBER(SEARCH("採用",$E29)),ISNUMBER(SEARCH("総務",$E29)),ISNUMBER(SEARCH("工場長",$E29)),ISNUMBER(SEARCH("社長",$E29)),ISNUMBER(SEARCH("出演",$E29)))),"◆","")</f>
        <v/>
      </c>
      <c r="AJ29" s="55" t="str">
        <f aca="false">IF(AND(AJ$7=$I29,OR(ISNUMBER(SEARCH("採用",$E29)),ISNUMBER(SEARCH("総務",$E29)),ISNUMBER(SEARCH("工場長",$E29)),ISNUMBER(SEARCH("社長",$E29)),ISNUMBER(SEARCH("出演",$E29)))),"◆","")</f>
        <v/>
      </c>
      <c r="AK29" s="55" t="str">
        <f aca="false">IF(AND(AK$7=$I29,OR(ISNUMBER(SEARCH("採用",$E29)),ISNUMBER(SEARCH("総務",$E29)),ISNUMBER(SEARCH("工場長",$E29)),ISNUMBER(SEARCH("社長",$E29)),ISNUMBER(SEARCH("出演",$E29)))),"◆","")</f>
        <v/>
      </c>
      <c r="AL29" s="55" t="str">
        <f aca="false">IF(AND(AL$7=$I29,OR(ISNUMBER(SEARCH("採用",$E29)),ISNUMBER(SEARCH("総務",$E29)),ISNUMBER(SEARCH("工場長",$E29)),ISNUMBER(SEARCH("社長",$E29)),ISNUMBER(SEARCH("出演",$E29)))),"◆","")</f>
        <v/>
      </c>
      <c r="AM29" s="55" t="str">
        <f aca="false">IF(AND(AM$7=$I29,OR(ISNUMBER(SEARCH("採用",$E29)),ISNUMBER(SEARCH("総務",$E29)),ISNUMBER(SEARCH("工場長",$E29)),ISNUMBER(SEARCH("社長",$E29)),ISNUMBER(SEARCH("出演",$E29)))),"◆","")</f>
        <v/>
      </c>
      <c r="AN29" s="55" t="str">
        <f aca="false">IF(AND(AN$7=$I29,OR(ISNUMBER(SEARCH("採用",$E29)),ISNUMBER(SEARCH("総務",$E29)),ISNUMBER(SEARCH("工場長",$E29)),ISNUMBER(SEARCH("社長",$E29)),ISNUMBER(SEARCH("出演",$E29)))),"◆","")</f>
        <v/>
      </c>
      <c r="AO29" s="55" t="str">
        <f aca="false">IF(AND(AO$7=$I29,OR(ISNUMBER(SEARCH("採用",$E29)),ISNUMBER(SEARCH("総務",$E29)),ISNUMBER(SEARCH("工場長",$E29)),ISNUMBER(SEARCH("社長",$E29)),ISNUMBER(SEARCH("出演",$E29)))),"◆","")</f>
        <v/>
      </c>
      <c r="AP29" s="55" t="str">
        <f aca="false">IF(AND(AP$7=$I29,OR(ISNUMBER(SEARCH("採用",$E29)),ISNUMBER(SEARCH("総務",$E29)),ISNUMBER(SEARCH("工場長",$E29)),ISNUMBER(SEARCH("社長",$E29)),ISNUMBER(SEARCH("出演",$E29)))),"◆","")</f>
        <v/>
      </c>
      <c r="AQ29" s="55" t="str">
        <f aca="false">IF(AND(AQ$7=$I29,OR(ISNUMBER(SEARCH("採用",$E29)),ISNUMBER(SEARCH("総務",$E29)),ISNUMBER(SEARCH("工場長",$E29)),ISNUMBER(SEARCH("社長",$E29)),ISNUMBER(SEARCH("出演",$E29)))),"◆","")</f>
        <v/>
      </c>
      <c r="AR29" s="55" t="str">
        <f aca="false">IF(AND(AR$7=$I29,OR(ISNUMBER(SEARCH("採用",$E29)),ISNUMBER(SEARCH("総務",$E29)),ISNUMBER(SEARCH("工場長",$E29)),ISNUMBER(SEARCH("社長",$E29)),ISNUMBER(SEARCH("出演",$E29)))),"◆","")</f>
        <v/>
      </c>
      <c r="AS29" s="55" t="str">
        <f aca="false">IF(AND(AS$7=$I29,OR(ISNUMBER(SEARCH("採用",$E29)),ISNUMBER(SEARCH("総務",$E29)),ISNUMBER(SEARCH("工場長",$E29)),ISNUMBER(SEARCH("社長",$E29)),ISNUMBER(SEARCH("出演",$E29)))),"◆","")</f>
        <v/>
      </c>
      <c r="AT29" s="55" t="str">
        <f aca="false">IF(AND(AT$7=$I29,OR(ISNUMBER(SEARCH("採用",$E29)),ISNUMBER(SEARCH("総務",$E29)),ISNUMBER(SEARCH("工場長",$E29)),ISNUMBER(SEARCH("社長",$E29)),ISNUMBER(SEARCH("出演",$E29)))),"◆","")</f>
        <v/>
      </c>
      <c r="AU29" s="55" t="str">
        <f aca="false">IF(AND(AU$7=$I29,OR(ISNUMBER(SEARCH("採用",$E29)),ISNUMBER(SEARCH("総務",$E29)),ISNUMBER(SEARCH("工場長",$E29)),ISNUMBER(SEARCH("社長",$E29)),ISNUMBER(SEARCH("出演",$E29)))),"◆","")</f>
        <v/>
      </c>
      <c r="AV29" s="55" t="str">
        <f aca="false">IF(AND(AV$7=$I29,OR(ISNUMBER(SEARCH("採用",$E29)),ISNUMBER(SEARCH("総務",$E29)),ISNUMBER(SEARCH("工場長",$E29)),ISNUMBER(SEARCH("社長",$E29)),ISNUMBER(SEARCH("出演",$E29)))),"◆","")</f>
        <v/>
      </c>
      <c r="AW29" s="55" t="str">
        <f aca="false">IF(AND(AW$7=$I29,OR(ISNUMBER(SEARCH("採用",$E29)),ISNUMBER(SEARCH("総務",$E29)),ISNUMBER(SEARCH("工場長",$E29)),ISNUMBER(SEARCH("社長",$E29)),ISNUMBER(SEARCH("出演",$E29)))),"◆","")</f>
        <v/>
      </c>
      <c r="AX29" s="55" t="str">
        <f aca="false">IF(AND(AX$7=$I29,OR(ISNUMBER(SEARCH("採用",$E29)),ISNUMBER(SEARCH("総務",$E29)),ISNUMBER(SEARCH("工場長",$E29)),ISNUMBER(SEARCH("社長",$E29)),ISNUMBER(SEARCH("出演",$E29)))),"◆","")</f>
        <v/>
      </c>
      <c r="AY29" s="55" t="str">
        <f aca="false">IF(AND(AY$7=$I29,OR(ISNUMBER(SEARCH("採用",$E29)),ISNUMBER(SEARCH("総務",$E29)),ISNUMBER(SEARCH("工場長",$E29)),ISNUMBER(SEARCH("社長",$E29)),ISNUMBER(SEARCH("出演",$E29)))),"◆","")</f>
        <v/>
      </c>
      <c r="AZ29" s="55" t="str">
        <f aca="false">IF(AND(AZ$7=$I29,OR(ISNUMBER(SEARCH("採用",$E29)),ISNUMBER(SEARCH("総務",$E29)),ISNUMBER(SEARCH("工場長",$E29)),ISNUMBER(SEARCH("社長",$E29)),ISNUMBER(SEARCH("出演",$E29)))),"◆","")</f>
        <v/>
      </c>
      <c r="BA29" s="55" t="str">
        <f aca="false">IF(AND(BA$7=$I29,OR(ISNUMBER(SEARCH("採用",$E29)),ISNUMBER(SEARCH("総務",$E29)),ISNUMBER(SEARCH("工場長",$E29)),ISNUMBER(SEARCH("社長",$E29)),ISNUMBER(SEARCH("出演",$E29)))),"◆","")</f>
        <v/>
      </c>
      <c r="BB29" s="55" t="str">
        <f aca="false">IF(AND(BB$7=$I29,OR(ISNUMBER(SEARCH("採用",$E29)),ISNUMBER(SEARCH("総務",$E29)),ISNUMBER(SEARCH("工場長",$E29)),ISNUMBER(SEARCH("社長",$E29)),ISNUMBER(SEARCH("出演",$E29)))),"◆","")</f>
        <v/>
      </c>
      <c r="BC29" s="55" t="str">
        <f aca="false">IF(AND(BC$7=$I29,OR(ISNUMBER(SEARCH("採用",$E29)),ISNUMBER(SEARCH("総務",$E29)),ISNUMBER(SEARCH("工場長",$E29)),ISNUMBER(SEARCH("社長",$E29)),ISNUMBER(SEARCH("出演",$E29)))),"◆","")</f>
        <v/>
      </c>
      <c r="BD29" s="55" t="str">
        <f aca="false">IF(AND(BD$7=$I29,OR(ISNUMBER(SEARCH("採用",$E29)),ISNUMBER(SEARCH("総務",$E29)),ISNUMBER(SEARCH("工場長",$E29)),ISNUMBER(SEARCH("社長",$E29)),ISNUMBER(SEARCH("出演",$E29)))),"◆","")</f>
        <v>◆</v>
      </c>
      <c r="BE29" s="55" t="str">
        <f aca="false">IF(AND(BE$7=$I29,OR(ISNUMBER(SEARCH("採用",$E29)),ISNUMBER(SEARCH("総務",$E29)),ISNUMBER(SEARCH("工場長",$E29)),ISNUMBER(SEARCH("社長",$E29)),ISNUMBER(SEARCH("出演",$E29)))),"◆","")</f>
        <v/>
      </c>
      <c r="BF29" s="55" t="str">
        <f aca="false">IF(AND(BF$7=$I29,OR(ISNUMBER(SEARCH("採用",$E29)),ISNUMBER(SEARCH("総務",$E29)),ISNUMBER(SEARCH("工場長",$E29)),ISNUMBER(SEARCH("社長",$E29)),ISNUMBER(SEARCH("出演",$E29)))),"◆","")</f>
        <v/>
      </c>
      <c r="BG29" s="55" t="str">
        <f aca="false">IF(AND(BG$7=$I29,OR(ISNUMBER(SEARCH("採用",$E29)),ISNUMBER(SEARCH("総務",$E29)),ISNUMBER(SEARCH("工場長",$E29)),ISNUMBER(SEARCH("社長",$E29)),ISNUMBER(SEARCH("出演",$E29)))),"◆","")</f>
        <v/>
      </c>
      <c r="BH29" s="55" t="str">
        <f aca="false">IF(AND(BH$7=$I29,OR(ISNUMBER(SEARCH("採用",$E29)),ISNUMBER(SEARCH("総務",$E29)),ISNUMBER(SEARCH("工場長",$E29)),ISNUMBER(SEARCH("社長",$E29)),ISNUMBER(SEARCH("出演",$E29)))),"◆","")</f>
        <v/>
      </c>
      <c r="BI29" s="55" t="str">
        <f aca="false">IF(AND(BI$7=$I29,OR(ISNUMBER(SEARCH("採用",$E29)),ISNUMBER(SEARCH("総務",$E29)),ISNUMBER(SEARCH("工場長",$E29)),ISNUMBER(SEARCH("社長",$E29)),ISNUMBER(SEARCH("出演",$E29)))),"◆","")</f>
        <v/>
      </c>
      <c r="BJ29" s="55" t="str">
        <f aca="false">IF(AND(BJ$7=$I29,OR(ISNUMBER(SEARCH("採用",$E29)),ISNUMBER(SEARCH("総務",$E29)),ISNUMBER(SEARCH("工場長",$E29)),ISNUMBER(SEARCH("社長",$E29)),ISNUMBER(SEARCH("出演",$E29)))),"◆","")</f>
        <v/>
      </c>
      <c r="BK29" s="55" t="str">
        <f aca="false">IF(AND(BK$7=$I29,OR(ISNUMBER(SEARCH("採用",$E29)),ISNUMBER(SEARCH("総務",$E29)),ISNUMBER(SEARCH("工場長",$E29)),ISNUMBER(SEARCH("社長",$E29)),ISNUMBER(SEARCH("出演",$E29)))),"◆","")</f>
        <v/>
      </c>
      <c r="BL29" s="55" t="str">
        <f aca="false">IF(AND(BL$7=$I29,OR(ISNUMBER(SEARCH("採用",$E29)),ISNUMBER(SEARCH("総務",$E29)),ISNUMBER(SEARCH("工場長",$E29)),ISNUMBER(SEARCH("社長",$E29)),ISNUMBER(SEARCH("出演",$E29)))),"◆","")</f>
        <v/>
      </c>
      <c r="BM29" s="55" t="str">
        <f aca="false">IF(AND(BM$7=$I29,OR(ISNUMBER(SEARCH("採用",$E29)),ISNUMBER(SEARCH("総務",$E29)),ISNUMBER(SEARCH("工場長",$E29)),ISNUMBER(SEARCH("社長",$E29)),ISNUMBER(SEARCH("出演",$E29)))),"◆","")</f>
        <v/>
      </c>
      <c r="BN29" s="55" t="str">
        <f aca="false">IF(AND(BN$7=$I29,OR(ISNUMBER(SEARCH("採用",$E29)),ISNUMBER(SEARCH("総務",$E29)),ISNUMBER(SEARCH("工場長",$E29)),ISNUMBER(SEARCH("社長",$E29)),ISNUMBER(SEARCH("出演",$E29)))),"◆","")</f>
        <v/>
      </c>
      <c r="BO29" s="55" t="str">
        <f aca="false">IF(AND(BO$7=$I29,OR(ISNUMBER(SEARCH("採用",$E29)),ISNUMBER(SEARCH("総務",$E29)),ISNUMBER(SEARCH("工場長",$E29)),ISNUMBER(SEARCH("社長",$E29)),ISNUMBER(SEARCH("出演",$E29)))),"◆","")</f>
        <v/>
      </c>
      <c r="BP29" s="55" t="str">
        <f aca="false">IF(AND(BP$7=$I29,OR(ISNUMBER(SEARCH("採用",$E29)),ISNUMBER(SEARCH("総務",$E29)),ISNUMBER(SEARCH("工場長",$E29)),ISNUMBER(SEARCH("社長",$E29)),ISNUMBER(SEARCH("出演",$E29)))),"◆","")</f>
        <v/>
      </c>
      <c r="BQ29" s="55" t="str">
        <f aca="false">IF(AND(BQ$7=$I29,OR(ISNUMBER(SEARCH("採用",$E29)),ISNUMBER(SEARCH("総務",$E29)),ISNUMBER(SEARCH("工場長",$E29)),ISNUMBER(SEARCH("社長",$E29)),ISNUMBER(SEARCH("出演",$E29)))),"◆","")</f>
        <v/>
      </c>
      <c r="BR29" s="55" t="str">
        <f aca="false">IF(AND(BR$7=$I29,OR(ISNUMBER(SEARCH("採用",$E29)),ISNUMBER(SEARCH("総務",$E29)),ISNUMBER(SEARCH("工場長",$E29)),ISNUMBER(SEARCH("社長",$E29)),ISNUMBER(SEARCH("出演",$E29)))),"◆","")</f>
        <v/>
      </c>
      <c r="BS29" s="55" t="str">
        <f aca="false">IF(AND(BS$7=$I29,OR(ISNUMBER(SEARCH("採用",$E29)),ISNUMBER(SEARCH("総務",$E29)),ISNUMBER(SEARCH("工場長",$E29)),ISNUMBER(SEARCH("社長",$E29)),ISNUMBER(SEARCH("出演",$E29)))),"◆","")</f>
        <v/>
      </c>
      <c r="BT29" s="55" t="str">
        <f aca="false">IF(AND(BT$7=$I29,OR(ISNUMBER(SEARCH("採用",$E29)),ISNUMBER(SEARCH("総務",$E29)),ISNUMBER(SEARCH("工場長",$E29)),ISNUMBER(SEARCH("社長",$E29)),ISNUMBER(SEARCH("出演",$E29)))),"◆","")</f>
        <v/>
      </c>
      <c r="BU29" s="55" t="str">
        <f aca="false">IF(AND(BU$7=$I29,OR(ISNUMBER(SEARCH("採用",$E29)),ISNUMBER(SEARCH("総務",$E29)),ISNUMBER(SEARCH("工場長",$E29)),ISNUMBER(SEARCH("社長",$E29)),ISNUMBER(SEARCH("出演",$E29)))),"◆","")</f>
        <v/>
      </c>
      <c r="BV29" s="55" t="str">
        <f aca="false">IF(AND(BV$7=$I29,OR(ISNUMBER(SEARCH("採用",$E29)),ISNUMBER(SEARCH("総務",$E29)),ISNUMBER(SEARCH("工場長",$E29)),ISNUMBER(SEARCH("社長",$E29)),ISNUMBER(SEARCH("出演",$E29)))),"◆","")</f>
        <v/>
      </c>
      <c r="BW29" s="55" t="str">
        <f aca="false">IF(AND(BW$7=$I29,OR(ISNUMBER(SEARCH("採用",$E29)),ISNUMBER(SEARCH("総務",$E29)),ISNUMBER(SEARCH("工場長",$E29)),ISNUMBER(SEARCH("社長",$E29)),ISNUMBER(SEARCH("出演",$E29)))),"◆","")</f>
        <v/>
      </c>
      <c r="BX29" s="55" t="str">
        <f aca="false">IF(AND(BX$7=$I29,OR(ISNUMBER(SEARCH("採用",$E29)),ISNUMBER(SEARCH("総務",$E29)),ISNUMBER(SEARCH("工場長",$E29)),ISNUMBER(SEARCH("社長",$E29)),ISNUMBER(SEARCH("出演",$E29)))),"◆","")</f>
        <v/>
      </c>
      <c r="BY29" s="55" t="str">
        <f aca="false">IF(AND(BY$7=$I29,OR(ISNUMBER(SEARCH("採用",$E29)),ISNUMBER(SEARCH("総務",$E29)),ISNUMBER(SEARCH("工場長",$E29)),ISNUMBER(SEARCH("社長",$E29)),ISNUMBER(SEARCH("出演",$E29)))),"◆","")</f>
        <v/>
      </c>
      <c r="BZ29" s="55" t="str">
        <f aca="false">IF(AND(BZ$7=$I29,OR(ISNUMBER(SEARCH("採用",$E29)),ISNUMBER(SEARCH("総務",$E29)),ISNUMBER(SEARCH("工場長",$E29)),ISNUMBER(SEARCH("社長",$E29)),ISNUMBER(SEARCH("出演",$E29)))),"◆","")</f>
        <v/>
      </c>
      <c r="CA29" s="55" t="str">
        <f aca="false">IF(AND(CA$7=$I29,OR(ISNUMBER(SEARCH("採用",$E29)),ISNUMBER(SEARCH("総務",$E29)),ISNUMBER(SEARCH("工場長",$E29)),ISNUMBER(SEARCH("社長",$E29)),ISNUMBER(SEARCH("出演",$E29)))),"◆","")</f>
        <v/>
      </c>
      <c r="CB29" s="55" t="str">
        <f aca="false">IF(AND(CB$7=$I29,OR(ISNUMBER(SEARCH("採用",$E29)),ISNUMBER(SEARCH("総務",$E29)),ISNUMBER(SEARCH("工場長",$E29)),ISNUMBER(SEARCH("社長",$E29)),ISNUMBER(SEARCH("出演",$E29)))),"◆","")</f>
        <v/>
      </c>
      <c r="CC29" s="55" t="str">
        <f aca="false">IF(AND(CC$7=$I29,OR(ISNUMBER(SEARCH("採用",$E29)),ISNUMBER(SEARCH("総務",$E29)),ISNUMBER(SEARCH("工場長",$E29)),ISNUMBER(SEARCH("社長",$E29)),ISNUMBER(SEARCH("出演",$E29)))),"◆","")</f>
        <v/>
      </c>
      <c r="CD29" s="55" t="str">
        <f aca="false">IF(AND(CD$7=$I29,OR(ISNUMBER(SEARCH("採用",$E29)),ISNUMBER(SEARCH("総務",$E29)),ISNUMBER(SEARCH("工場長",$E29)),ISNUMBER(SEARCH("社長",$E29)),ISNUMBER(SEARCH("出演",$E29)))),"◆","")</f>
        <v/>
      </c>
      <c r="CE29" s="55" t="str">
        <f aca="false">IF(AND(CE$7=$I29,OR(ISNUMBER(SEARCH("採用",$E29)),ISNUMBER(SEARCH("総務",$E29)),ISNUMBER(SEARCH("工場長",$E29)),ISNUMBER(SEARCH("社長",$E29)),ISNUMBER(SEARCH("出演",$E29)))),"◆","")</f>
        <v/>
      </c>
      <c r="CF29" s="55" t="str">
        <f aca="false">IF(AND(CF$7=$I29,OR(ISNUMBER(SEARCH("採用",$E29)),ISNUMBER(SEARCH("総務",$E29)),ISNUMBER(SEARCH("工場長",$E29)),ISNUMBER(SEARCH("社長",$E29)),ISNUMBER(SEARCH("出演",$E29)))),"◆","")</f>
        <v/>
      </c>
      <c r="CG29" s="55" t="str">
        <f aca="false">IF(AND(CG$7=$I29,OR(ISNUMBER(SEARCH("採用",$E29)),ISNUMBER(SEARCH("総務",$E29)),ISNUMBER(SEARCH("工場長",$E29)),ISNUMBER(SEARCH("社長",$E29)),ISNUMBER(SEARCH("出演",$E29)))),"◆","")</f>
        <v/>
      </c>
      <c r="CH29" s="55" t="str">
        <f aca="false">IF(AND(CH$7=$I29,OR(ISNUMBER(SEARCH("採用",$E29)),ISNUMBER(SEARCH("総務",$E29)),ISNUMBER(SEARCH("工場長",$E29)),ISNUMBER(SEARCH("社長",$E29)),ISNUMBER(SEARCH("出演",$E29)))),"◆","")</f>
        <v/>
      </c>
      <c r="CI29" s="55" t="str">
        <f aca="false">IF(AND(CI$7=$I29,OR(ISNUMBER(SEARCH("採用",$E29)),ISNUMBER(SEARCH("総務",$E29)),ISNUMBER(SEARCH("工場長",$E29)),ISNUMBER(SEARCH("社長",$E29)),ISNUMBER(SEARCH("出演",$E29)))),"◆","")</f>
        <v/>
      </c>
      <c r="CJ29" s="55" t="str">
        <f aca="false">IF(AND(CJ$7=$I29,OR(ISNUMBER(SEARCH("採用",$E29)),ISNUMBER(SEARCH("総務",$E29)),ISNUMBER(SEARCH("工場長",$E29)),ISNUMBER(SEARCH("社長",$E29)),ISNUMBER(SEARCH("出演",$E29)))),"◆","")</f>
        <v/>
      </c>
      <c r="CK29" s="55" t="str">
        <f aca="false">IF(AND(CK$7=$I29,OR(ISNUMBER(SEARCH("採用",$E29)),ISNUMBER(SEARCH("総務",$E29)),ISNUMBER(SEARCH("工場長",$E29)),ISNUMBER(SEARCH("社長",$E29)),ISNUMBER(SEARCH("出演",$E29)))),"◆","")</f>
        <v/>
      </c>
      <c r="CL29" s="55" t="str">
        <f aca="false">IF(AND(CL$7=$I29,OR(ISNUMBER(SEARCH("採用",$E29)),ISNUMBER(SEARCH("総務",$E29)),ISNUMBER(SEARCH("工場長",$E29)),ISNUMBER(SEARCH("社長",$E29)),ISNUMBER(SEARCH("出演",$E29)))),"◆","")</f>
        <v/>
      </c>
      <c r="CM29" s="55" t="str">
        <f aca="false">IF(AND(CM$7=$I29,OR(ISNUMBER(SEARCH("採用",$E29)),ISNUMBER(SEARCH("総務",$E29)),ISNUMBER(SEARCH("工場長",$E29)),ISNUMBER(SEARCH("社長",$E29)),ISNUMBER(SEARCH("出演",$E29)))),"◆","")</f>
        <v/>
      </c>
      <c r="CN29" s="55" t="str">
        <f aca="false">IF(AND(CN$7=$I29,OR(ISNUMBER(SEARCH("採用",$E29)),ISNUMBER(SEARCH("総務",$E29)),ISNUMBER(SEARCH("工場長",$E29)),ISNUMBER(SEARCH("社長",$E29)),ISNUMBER(SEARCH("出演",$E29)))),"◆","")</f>
        <v/>
      </c>
      <c r="CO29" s="55" t="str">
        <f aca="false">IF(AND(CO$7=$I29,OR(ISNUMBER(SEARCH("採用",$E29)),ISNUMBER(SEARCH("総務",$E29)),ISNUMBER(SEARCH("工場長",$E29)),ISNUMBER(SEARCH("社長",$E29)),ISNUMBER(SEARCH("出演",$E29)))),"◆","")</f>
        <v/>
      </c>
      <c r="CP29" s="55" t="str">
        <f aca="false">IF(AND(CP$7=$I29,OR(ISNUMBER(SEARCH("採用",$E29)),ISNUMBER(SEARCH("総務",$E29)),ISNUMBER(SEARCH("工場長",$E29)),ISNUMBER(SEARCH("社長",$E29)),ISNUMBER(SEARCH("出演",$E29)))),"◆","")</f>
        <v/>
      </c>
    </row>
    <row r="30" customFormat="false" ht="25.5" hidden="false" customHeight="true" outlineLevel="0" collapsed="false">
      <c r="A30" s="48" t="str">
        <f aca="false">制作工程表!A24</f>
        <v>T16</v>
      </c>
      <c r="B30" s="49" t="str">
        <f aca="false">制作工程表!B24</f>
        <v>デザイン</v>
      </c>
      <c r="C30" s="50" t="str">
        <f aca="false">制作工程表!C24</f>
        <v>全19ページの展開・確定</v>
      </c>
      <c r="D30" s="51" t="str">
        <f aca="false">制作工程表!D24</f>
        <v>デザイナー</v>
      </c>
      <c r="E30" s="51" t="str">
        <f aca="false">制作工程表!E24</f>
        <v>—</v>
      </c>
      <c r="F30" s="52" t="str">
        <f aca="false">IF(制作工程表!B24="取材撮影","撮影",IF(OR(制作工程表!D24="採用担当",制作工程表!D24="総務窓口",制作工程表!D24="工場長"),"企業","制作"))</f>
        <v>制作</v>
      </c>
      <c r="G30" s="53" t="n">
        <f aca="false">制作工程表!G24</f>
        <v>46346</v>
      </c>
      <c r="H30" s="53" t="n">
        <f aca="false">制作工程表!H24</f>
        <v>46353</v>
      </c>
      <c r="I30" s="54" t="str">
        <f aca="false">制作工程表!I24</f>
        <v>—</v>
      </c>
      <c r="J30" s="49" t="str">
        <f aca="false">制作工程表!K24</f>
        <v>未着手</v>
      </c>
      <c r="K30" s="55" t="str">
        <f aca="false">IF(AND(K$7=$I30,OR(ISNUMBER(SEARCH("採用",$E30)),ISNUMBER(SEARCH("総務",$E30)),ISNUMBER(SEARCH("工場長",$E30)),ISNUMBER(SEARCH("社長",$E30)),ISNUMBER(SEARCH("出演",$E30)))),"◆","")</f>
        <v/>
      </c>
      <c r="L30" s="55" t="str">
        <f aca="false">IF(AND(L$7=$I30,OR(ISNUMBER(SEARCH("採用",$E30)),ISNUMBER(SEARCH("総務",$E30)),ISNUMBER(SEARCH("工場長",$E30)),ISNUMBER(SEARCH("社長",$E30)),ISNUMBER(SEARCH("出演",$E30)))),"◆","")</f>
        <v/>
      </c>
      <c r="M30" s="55" t="str">
        <f aca="false">IF(AND(M$7=$I30,OR(ISNUMBER(SEARCH("採用",$E30)),ISNUMBER(SEARCH("総務",$E30)),ISNUMBER(SEARCH("工場長",$E30)),ISNUMBER(SEARCH("社長",$E30)),ISNUMBER(SEARCH("出演",$E30)))),"◆","")</f>
        <v/>
      </c>
      <c r="N30" s="55" t="str">
        <f aca="false">IF(AND(N$7=$I30,OR(ISNUMBER(SEARCH("採用",$E30)),ISNUMBER(SEARCH("総務",$E30)),ISNUMBER(SEARCH("工場長",$E30)),ISNUMBER(SEARCH("社長",$E30)),ISNUMBER(SEARCH("出演",$E30)))),"◆","")</f>
        <v/>
      </c>
      <c r="O30" s="55" t="str">
        <f aca="false">IF(AND(O$7=$I30,OR(ISNUMBER(SEARCH("採用",$E30)),ISNUMBER(SEARCH("総務",$E30)),ISNUMBER(SEARCH("工場長",$E30)),ISNUMBER(SEARCH("社長",$E30)),ISNUMBER(SEARCH("出演",$E30)))),"◆","")</f>
        <v/>
      </c>
      <c r="P30" s="55" t="str">
        <f aca="false">IF(AND(P$7=$I30,OR(ISNUMBER(SEARCH("採用",$E30)),ISNUMBER(SEARCH("総務",$E30)),ISNUMBER(SEARCH("工場長",$E30)),ISNUMBER(SEARCH("社長",$E30)),ISNUMBER(SEARCH("出演",$E30)))),"◆","")</f>
        <v/>
      </c>
      <c r="Q30" s="55" t="str">
        <f aca="false">IF(AND(Q$7=$I30,OR(ISNUMBER(SEARCH("採用",$E30)),ISNUMBER(SEARCH("総務",$E30)),ISNUMBER(SEARCH("工場長",$E30)),ISNUMBER(SEARCH("社長",$E30)),ISNUMBER(SEARCH("出演",$E30)))),"◆","")</f>
        <v/>
      </c>
      <c r="R30" s="55" t="str">
        <f aca="false">IF(AND(R$7=$I30,OR(ISNUMBER(SEARCH("採用",$E30)),ISNUMBER(SEARCH("総務",$E30)),ISNUMBER(SEARCH("工場長",$E30)),ISNUMBER(SEARCH("社長",$E30)),ISNUMBER(SEARCH("出演",$E30)))),"◆","")</f>
        <v/>
      </c>
      <c r="S30" s="55" t="str">
        <f aca="false">IF(AND(S$7=$I30,OR(ISNUMBER(SEARCH("採用",$E30)),ISNUMBER(SEARCH("総務",$E30)),ISNUMBER(SEARCH("工場長",$E30)),ISNUMBER(SEARCH("社長",$E30)),ISNUMBER(SEARCH("出演",$E30)))),"◆","")</f>
        <v/>
      </c>
      <c r="T30" s="55" t="str">
        <f aca="false">IF(AND(T$7=$I30,OR(ISNUMBER(SEARCH("採用",$E30)),ISNUMBER(SEARCH("総務",$E30)),ISNUMBER(SEARCH("工場長",$E30)),ISNUMBER(SEARCH("社長",$E30)),ISNUMBER(SEARCH("出演",$E30)))),"◆","")</f>
        <v/>
      </c>
      <c r="U30" s="55" t="str">
        <f aca="false">IF(AND(U$7=$I30,OR(ISNUMBER(SEARCH("採用",$E30)),ISNUMBER(SEARCH("総務",$E30)),ISNUMBER(SEARCH("工場長",$E30)),ISNUMBER(SEARCH("社長",$E30)),ISNUMBER(SEARCH("出演",$E30)))),"◆","")</f>
        <v/>
      </c>
      <c r="V30" s="55" t="str">
        <f aca="false">IF(AND(V$7=$I30,OR(ISNUMBER(SEARCH("採用",$E30)),ISNUMBER(SEARCH("総務",$E30)),ISNUMBER(SEARCH("工場長",$E30)),ISNUMBER(SEARCH("社長",$E30)),ISNUMBER(SEARCH("出演",$E30)))),"◆","")</f>
        <v/>
      </c>
      <c r="W30" s="55" t="str">
        <f aca="false">IF(AND(W$7=$I30,OR(ISNUMBER(SEARCH("採用",$E30)),ISNUMBER(SEARCH("総務",$E30)),ISNUMBER(SEARCH("工場長",$E30)),ISNUMBER(SEARCH("社長",$E30)),ISNUMBER(SEARCH("出演",$E30)))),"◆","")</f>
        <v/>
      </c>
      <c r="X30" s="55" t="str">
        <f aca="false">IF(AND(X$7=$I30,OR(ISNUMBER(SEARCH("採用",$E30)),ISNUMBER(SEARCH("総務",$E30)),ISNUMBER(SEARCH("工場長",$E30)),ISNUMBER(SEARCH("社長",$E30)),ISNUMBER(SEARCH("出演",$E30)))),"◆","")</f>
        <v/>
      </c>
      <c r="Y30" s="55" t="str">
        <f aca="false">IF(AND(Y$7=$I30,OR(ISNUMBER(SEARCH("採用",$E30)),ISNUMBER(SEARCH("総務",$E30)),ISNUMBER(SEARCH("工場長",$E30)),ISNUMBER(SEARCH("社長",$E30)),ISNUMBER(SEARCH("出演",$E30)))),"◆","")</f>
        <v/>
      </c>
      <c r="Z30" s="55" t="str">
        <f aca="false">IF(AND(Z$7=$I30,OR(ISNUMBER(SEARCH("採用",$E30)),ISNUMBER(SEARCH("総務",$E30)),ISNUMBER(SEARCH("工場長",$E30)),ISNUMBER(SEARCH("社長",$E30)),ISNUMBER(SEARCH("出演",$E30)))),"◆","")</f>
        <v/>
      </c>
      <c r="AA30" s="55" t="str">
        <f aca="false">IF(AND(AA$7=$I30,OR(ISNUMBER(SEARCH("採用",$E30)),ISNUMBER(SEARCH("総務",$E30)),ISNUMBER(SEARCH("工場長",$E30)),ISNUMBER(SEARCH("社長",$E30)),ISNUMBER(SEARCH("出演",$E30)))),"◆","")</f>
        <v/>
      </c>
      <c r="AB30" s="55" t="str">
        <f aca="false">IF(AND(AB$7=$I30,OR(ISNUMBER(SEARCH("採用",$E30)),ISNUMBER(SEARCH("総務",$E30)),ISNUMBER(SEARCH("工場長",$E30)),ISNUMBER(SEARCH("社長",$E30)),ISNUMBER(SEARCH("出演",$E30)))),"◆","")</f>
        <v/>
      </c>
      <c r="AC30" s="55" t="str">
        <f aca="false">IF(AND(AC$7=$I30,OR(ISNUMBER(SEARCH("採用",$E30)),ISNUMBER(SEARCH("総務",$E30)),ISNUMBER(SEARCH("工場長",$E30)),ISNUMBER(SEARCH("社長",$E30)),ISNUMBER(SEARCH("出演",$E30)))),"◆","")</f>
        <v/>
      </c>
      <c r="AD30" s="55" t="str">
        <f aca="false">IF(AND(AD$7=$I30,OR(ISNUMBER(SEARCH("採用",$E30)),ISNUMBER(SEARCH("総務",$E30)),ISNUMBER(SEARCH("工場長",$E30)),ISNUMBER(SEARCH("社長",$E30)),ISNUMBER(SEARCH("出演",$E30)))),"◆","")</f>
        <v/>
      </c>
      <c r="AE30" s="55" t="str">
        <f aca="false">IF(AND(AE$7=$I30,OR(ISNUMBER(SEARCH("採用",$E30)),ISNUMBER(SEARCH("総務",$E30)),ISNUMBER(SEARCH("工場長",$E30)),ISNUMBER(SEARCH("社長",$E30)),ISNUMBER(SEARCH("出演",$E30)))),"◆","")</f>
        <v/>
      </c>
      <c r="AF30" s="55" t="str">
        <f aca="false">IF(AND(AF$7=$I30,OR(ISNUMBER(SEARCH("採用",$E30)),ISNUMBER(SEARCH("総務",$E30)),ISNUMBER(SEARCH("工場長",$E30)),ISNUMBER(SEARCH("社長",$E30)),ISNUMBER(SEARCH("出演",$E30)))),"◆","")</f>
        <v/>
      </c>
      <c r="AG30" s="55" t="str">
        <f aca="false">IF(AND(AG$7=$I30,OR(ISNUMBER(SEARCH("採用",$E30)),ISNUMBER(SEARCH("総務",$E30)),ISNUMBER(SEARCH("工場長",$E30)),ISNUMBER(SEARCH("社長",$E30)),ISNUMBER(SEARCH("出演",$E30)))),"◆","")</f>
        <v/>
      </c>
      <c r="AH30" s="55" t="str">
        <f aca="false">IF(AND(AH$7=$I30,OR(ISNUMBER(SEARCH("採用",$E30)),ISNUMBER(SEARCH("総務",$E30)),ISNUMBER(SEARCH("工場長",$E30)),ISNUMBER(SEARCH("社長",$E30)),ISNUMBER(SEARCH("出演",$E30)))),"◆","")</f>
        <v/>
      </c>
      <c r="AI30" s="55" t="str">
        <f aca="false">IF(AND(AI$7=$I30,OR(ISNUMBER(SEARCH("採用",$E30)),ISNUMBER(SEARCH("総務",$E30)),ISNUMBER(SEARCH("工場長",$E30)),ISNUMBER(SEARCH("社長",$E30)),ISNUMBER(SEARCH("出演",$E30)))),"◆","")</f>
        <v/>
      </c>
      <c r="AJ30" s="55" t="str">
        <f aca="false">IF(AND(AJ$7=$I30,OR(ISNUMBER(SEARCH("採用",$E30)),ISNUMBER(SEARCH("総務",$E30)),ISNUMBER(SEARCH("工場長",$E30)),ISNUMBER(SEARCH("社長",$E30)),ISNUMBER(SEARCH("出演",$E30)))),"◆","")</f>
        <v/>
      </c>
      <c r="AK30" s="55" t="str">
        <f aca="false">IF(AND(AK$7=$I30,OR(ISNUMBER(SEARCH("採用",$E30)),ISNUMBER(SEARCH("総務",$E30)),ISNUMBER(SEARCH("工場長",$E30)),ISNUMBER(SEARCH("社長",$E30)),ISNUMBER(SEARCH("出演",$E30)))),"◆","")</f>
        <v/>
      </c>
      <c r="AL30" s="55" t="str">
        <f aca="false">IF(AND(AL$7=$I30,OR(ISNUMBER(SEARCH("採用",$E30)),ISNUMBER(SEARCH("総務",$E30)),ISNUMBER(SEARCH("工場長",$E30)),ISNUMBER(SEARCH("社長",$E30)),ISNUMBER(SEARCH("出演",$E30)))),"◆","")</f>
        <v/>
      </c>
      <c r="AM30" s="55" t="str">
        <f aca="false">IF(AND(AM$7=$I30,OR(ISNUMBER(SEARCH("採用",$E30)),ISNUMBER(SEARCH("総務",$E30)),ISNUMBER(SEARCH("工場長",$E30)),ISNUMBER(SEARCH("社長",$E30)),ISNUMBER(SEARCH("出演",$E30)))),"◆","")</f>
        <v/>
      </c>
      <c r="AN30" s="55" t="str">
        <f aca="false">IF(AND(AN$7=$I30,OR(ISNUMBER(SEARCH("採用",$E30)),ISNUMBER(SEARCH("総務",$E30)),ISNUMBER(SEARCH("工場長",$E30)),ISNUMBER(SEARCH("社長",$E30)),ISNUMBER(SEARCH("出演",$E30)))),"◆","")</f>
        <v/>
      </c>
      <c r="AO30" s="55" t="str">
        <f aca="false">IF(AND(AO$7=$I30,OR(ISNUMBER(SEARCH("採用",$E30)),ISNUMBER(SEARCH("総務",$E30)),ISNUMBER(SEARCH("工場長",$E30)),ISNUMBER(SEARCH("社長",$E30)),ISNUMBER(SEARCH("出演",$E30)))),"◆","")</f>
        <v/>
      </c>
      <c r="AP30" s="55" t="str">
        <f aca="false">IF(AND(AP$7=$I30,OR(ISNUMBER(SEARCH("採用",$E30)),ISNUMBER(SEARCH("総務",$E30)),ISNUMBER(SEARCH("工場長",$E30)),ISNUMBER(SEARCH("社長",$E30)),ISNUMBER(SEARCH("出演",$E30)))),"◆","")</f>
        <v/>
      </c>
      <c r="AQ30" s="55" t="str">
        <f aca="false">IF(AND(AQ$7=$I30,OR(ISNUMBER(SEARCH("採用",$E30)),ISNUMBER(SEARCH("総務",$E30)),ISNUMBER(SEARCH("工場長",$E30)),ISNUMBER(SEARCH("社長",$E30)),ISNUMBER(SEARCH("出演",$E30)))),"◆","")</f>
        <v/>
      </c>
      <c r="AR30" s="55" t="str">
        <f aca="false">IF(AND(AR$7=$I30,OR(ISNUMBER(SEARCH("採用",$E30)),ISNUMBER(SEARCH("総務",$E30)),ISNUMBER(SEARCH("工場長",$E30)),ISNUMBER(SEARCH("社長",$E30)),ISNUMBER(SEARCH("出演",$E30)))),"◆","")</f>
        <v/>
      </c>
      <c r="AS30" s="55" t="str">
        <f aca="false">IF(AND(AS$7=$I30,OR(ISNUMBER(SEARCH("採用",$E30)),ISNUMBER(SEARCH("総務",$E30)),ISNUMBER(SEARCH("工場長",$E30)),ISNUMBER(SEARCH("社長",$E30)),ISNUMBER(SEARCH("出演",$E30)))),"◆","")</f>
        <v/>
      </c>
      <c r="AT30" s="55" t="str">
        <f aca="false">IF(AND(AT$7=$I30,OR(ISNUMBER(SEARCH("採用",$E30)),ISNUMBER(SEARCH("総務",$E30)),ISNUMBER(SEARCH("工場長",$E30)),ISNUMBER(SEARCH("社長",$E30)),ISNUMBER(SEARCH("出演",$E30)))),"◆","")</f>
        <v/>
      </c>
      <c r="AU30" s="55" t="str">
        <f aca="false">IF(AND(AU$7=$I30,OR(ISNUMBER(SEARCH("採用",$E30)),ISNUMBER(SEARCH("総務",$E30)),ISNUMBER(SEARCH("工場長",$E30)),ISNUMBER(SEARCH("社長",$E30)),ISNUMBER(SEARCH("出演",$E30)))),"◆","")</f>
        <v/>
      </c>
      <c r="AV30" s="55" t="str">
        <f aca="false">IF(AND(AV$7=$I30,OR(ISNUMBER(SEARCH("採用",$E30)),ISNUMBER(SEARCH("総務",$E30)),ISNUMBER(SEARCH("工場長",$E30)),ISNUMBER(SEARCH("社長",$E30)),ISNUMBER(SEARCH("出演",$E30)))),"◆","")</f>
        <v/>
      </c>
      <c r="AW30" s="55" t="str">
        <f aca="false">IF(AND(AW$7=$I30,OR(ISNUMBER(SEARCH("採用",$E30)),ISNUMBER(SEARCH("総務",$E30)),ISNUMBER(SEARCH("工場長",$E30)),ISNUMBER(SEARCH("社長",$E30)),ISNUMBER(SEARCH("出演",$E30)))),"◆","")</f>
        <v/>
      </c>
      <c r="AX30" s="55" t="str">
        <f aca="false">IF(AND(AX$7=$I30,OR(ISNUMBER(SEARCH("採用",$E30)),ISNUMBER(SEARCH("総務",$E30)),ISNUMBER(SEARCH("工場長",$E30)),ISNUMBER(SEARCH("社長",$E30)),ISNUMBER(SEARCH("出演",$E30)))),"◆","")</f>
        <v/>
      </c>
      <c r="AY30" s="55" t="str">
        <f aca="false">IF(AND(AY$7=$I30,OR(ISNUMBER(SEARCH("採用",$E30)),ISNUMBER(SEARCH("総務",$E30)),ISNUMBER(SEARCH("工場長",$E30)),ISNUMBER(SEARCH("社長",$E30)),ISNUMBER(SEARCH("出演",$E30)))),"◆","")</f>
        <v/>
      </c>
      <c r="AZ30" s="55" t="str">
        <f aca="false">IF(AND(AZ$7=$I30,OR(ISNUMBER(SEARCH("採用",$E30)),ISNUMBER(SEARCH("総務",$E30)),ISNUMBER(SEARCH("工場長",$E30)),ISNUMBER(SEARCH("社長",$E30)),ISNUMBER(SEARCH("出演",$E30)))),"◆","")</f>
        <v/>
      </c>
      <c r="BA30" s="55" t="str">
        <f aca="false">IF(AND(BA$7=$I30,OR(ISNUMBER(SEARCH("採用",$E30)),ISNUMBER(SEARCH("総務",$E30)),ISNUMBER(SEARCH("工場長",$E30)),ISNUMBER(SEARCH("社長",$E30)),ISNUMBER(SEARCH("出演",$E30)))),"◆","")</f>
        <v/>
      </c>
      <c r="BB30" s="55" t="str">
        <f aca="false">IF(AND(BB$7=$I30,OR(ISNUMBER(SEARCH("採用",$E30)),ISNUMBER(SEARCH("総務",$E30)),ISNUMBER(SEARCH("工場長",$E30)),ISNUMBER(SEARCH("社長",$E30)),ISNUMBER(SEARCH("出演",$E30)))),"◆","")</f>
        <v/>
      </c>
      <c r="BC30" s="55" t="str">
        <f aca="false">IF(AND(BC$7=$I30,OR(ISNUMBER(SEARCH("採用",$E30)),ISNUMBER(SEARCH("総務",$E30)),ISNUMBER(SEARCH("工場長",$E30)),ISNUMBER(SEARCH("社長",$E30)),ISNUMBER(SEARCH("出演",$E30)))),"◆","")</f>
        <v/>
      </c>
      <c r="BD30" s="55" t="str">
        <f aca="false">IF(AND(BD$7=$I30,OR(ISNUMBER(SEARCH("採用",$E30)),ISNUMBER(SEARCH("総務",$E30)),ISNUMBER(SEARCH("工場長",$E30)),ISNUMBER(SEARCH("社長",$E30)),ISNUMBER(SEARCH("出演",$E30)))),"◆","")</f>
        <v/>
      </c>
      <c r="BE30" s="55" t="str">
        <f aca="false">IF(AND(BE$7=$I30,OR(ISNUMBER(SEARCH("採用",$E30)),ISNUMBER(SEARCH("総務",$E30)),ISNUMBER(SEARCH("工場長",$E30)),ISNUMBER(SEARCH("社長",$E30)),ISNUMBER(SEARCH("出演",$E30)))),"◆","")</f>
        <v/>
      </c>
      <c r="BF30" s="55" t="str">
        <f aca="false">IF(AND(BF$7=$I30,OR(ISNUMBER(SEARCH("採用",$E30)),ISNUMBER(SEARCH("総務",$E30)),ISNUMBER(SEARCH("工場長",$E30)),ISNUMBER(SEARCH("社長",$E30)),ISNUMBER(SEARCH("出演",$E30)))),"◆","")</f>
        <v/>
      </c>
      <c r="BG30" s="55" t="str">
        <f aca="false">IF(AND(BG$7=$I30,OR(ISNUMBER(SEARCH("採用",$E30)),ISNUMBER(SEARCH("総務",$E30)),ISNUMBER(SEARCH("工場長",$E30)),ISNUMBER(SEARCH("社長",$E30)),ISNUMBER(SEARCH("出演",$E30)))),"◆","")</f>
        <v/>
      </c>
      <c r="BH30" s="55" t="str">
        <f aca="false">IF(AND(BH$7=$I30,OR(ISNUMBER(SEARCH("採用",$E30)),ISNUMBER(SEARCH("総務",$E30)),ISNUMBER(SEARCH("工場長",$E30)),ISNUMBER(SEARCH("社長",$E30)),ISNUMBER(SEARCH("出演",$E30)))),"◆","")</f>
        <v/>
      </c>
      <c r="BI30" s="55" t="str">
        <f aca="false">IF(AND(BI$7=$I30,OR(ISNUMBER(SEARCH("採用",$E30)),ISNUMBER(SEARCH("総務",$E30)),ISNUMBER(SEARCH("工場長",$E30)),ISNUMBER(SEARCH("社長",$E30)),ISNUMBER(SEARCH("出演",$E30)))),"◆","")</f>
        <v/>
      </c>
      <c r="BJ30" s="55" t="str">
        <f aca="false">IF(AND(BJ$7=$I30,OR(ISNUMBER(SEARCH("採用",$E30)),ISNUMBER(SEARCH("総務",$E30)),ISNUMBER(SEARCH("工場長",$E30)),ISNUMBER(SEARCH("社長",$E30)),ISNUMBER(SEARCH("出演",$E30)))),"◆","")</f>
        <v/>
      </c>
      <c r="BK30" s="55" t="str">
        <f aca="false">IF(AND(BK$7=$I30,OR(ISNUMBER(SEARCH("採用",$E30)),ISNUMBER(SEARCH("総務",$E30)),ISNUMBER(SEARCH("工場長",$E30)),ISNUMBER(SEARCH("社長",$E30)),ISNUMBER(SEARCH("出演",$E30)))),"◆","")</f>
        <v/>
      </c>
      <c r="BL30" s="55" t="str">
        <f aca="false">IF(AND(BL$7=$I30,OR(ISNUMBER(SEARCH("採用",$E30)),ISNUMBER(SEARCH("総務",$E30)),ISNUMBER(SEARCH("工場長",$E30)),ISNUMBER(SEARCH("社長",$E30)),ISNUMBER(SEARCH("出演",$E30)))),"◆","")</f>
        <v/>
      </c>
      <c r="BM30" s="55" t="str">
        <f aca="false">IF(AND(BM$7=$I30,OR(ISNUMBER(SEARCH("採用",$E30)),ISNUMBER(SEARCH("総務",$E30)),ISNUMBER(SEARCH("工場長",$E30)),ISNUMBER(SEARCH("社長",$E30)),ISNUMBER(SEARCH("出演",$E30)))),"◆","")</f>
        <v/>
      </c>
      <c r="BN30" s="55" t="str">
        <f aca="false">IF(AND(BN$7=$I30,OR(ISNUMBER(SEARCH("採用",$E30)),ISNUMBER(SEARCH("総務",$E30)),ISNUMBER(SEARCH("工場長",$E30)),ISNUMBER(SEARCH("社長",$E30)),ISNUMBER(SEARCH("出演",$E30)))),"◆","")</f>
        <v/>
      </c>
      <c r="BO30" s="55" t="str">
        <f aca="false">IF(AND(BO$7=$I30,OR(ISNUMBER(SEARCH("採用",$E30)),ISNUMBER(SEARCH("総務",$E30)),ISNUMBER(SEARCH("工場長",$E30)),ISNUMBER(SEARCH("社長",$E30)),ISNUMBER(SEARCH("出演",$E30)))),"◆","")</f>
        <v/>
      </c>
      <c r="BP30" s="55" t="str">
        <f aca="false">IF(AND(BP$7=$I30,OR(ISNUMBER(SEARCH("採用",$E30)),ISNUMBER(SEARCH("総務",$E30)),ISNUMBER(SEARCH("工場長",$E30)),ISNUMBER(SEARCH("社長",$E30)),ISNUMBER(SEARCH("出演",$E30)))),"◆","")</f>
        <v/>
      </c>
      <c r="BQ30" s="55" t="str">
        <f aca="false">IF(AND(BQ$7=$I30,OR(ISNUMBER(SEARCH("採用",$E30)),ISNUMBER(SEARCH("総務",$E30)),ISNUMBER(SEARCH("工場長",$E30)),ISNUMBER(SEARCH("社長",$E30)),ISNUMBER(SEARCH("出演",$E30)))),"◆","")</f>
        <v/>
      </c>
      <c r="BR30" s="55" t="str">
        <f aca="false">IF(AND(BR$7=$I30,OR(ISNUMBER(SEARCH("採用",$E30)),ISNUMBER(SEARCH("総務",$E30)),ISNUMBER(SEARCH("工場長",$E30)),ISNUMBER(SEARCH("社長",$E30)),ISNUMBER(SEARCH("出演",$E30)))),"◆","")</f>
        <v/>
      </c>
      <c r="BS30" s="55" t="str">
        <f aca="false">IF(AND(BS$7=$I30,OR(ISNUMBER(SEARCH("採用",$E30)),ISNUMBER(SEARCH("総務",$E30)),ISNUMBER(SEARCH("工場長",$E30)),ISNUMBER(SEARCH("社長",$E30)),ISNUMBER(SEARCH("出演",$E30)))),"◆","")</f>
        <v/>
      </c>
      <c r="BT30" s="55" t="str">
        <f aca="false">IF(AND(BT$7=$I30,OR(ISNUMBER(SEARCH("採用",$E30)),ISNUMBER(SEARCH("総務",$E30)),ISNUMBER(SEARCH("工場長",$E30)),ISNUMBER(SEARCH("社長",$E30)),ISNUMBER(SEARCH("出演",$E30)))),"◆","")</f>
        <v/>
      </c>
      <c r="BU30" s="55" t="str">
        <f aca="false">IF(AND(BU$7=$I30,OR(ISNUMBER(SEARCH("採用",$E30)),ISNUMBER(SEARCH("総務",$E30)),ISNUMBER(SEARCH("工場長",$E30)),ISNUMBER(SEARCH("社長",$E30)),ISNUMBER(SEARCH("出演",$E30)))),"◆","")</f>
        <v/>
      </c>
      <c r="BV30" s="55" t="str">
        <f aca="false">IF(AND(BV$7=$I30,OR(ISNUMBER(SEARCH("採用",$E30)),ISNUMBER(SEARCH("総務",$E30)),ISNUMBER(SEARCH("工場長",$E30)),ISNUMBER(SEARCH("社長",$E30)),ISNUMBER(SEARCH("出演",$E30)))),"◆","")</f>
        <v/>
      </c>
      <c r="BW30" s="55" t="str">
        <f aca="false">IF(AND(BW$7=$I30,OR(ISNUMBER(SEARCH("採用",$E30)),ISNUMBER(SEARCH("総務",$E30)),ISNUMBER(SEARCH("工場長",$E30)),ISNUMBER(SEARCH("社長",$E30)),ISNUMBER(SEARCH("出演",$E30)))),"◆","")</f>
        <v/>
      </c>
      <c r="BX30" s="55" t="str">
        <f aca="false">IF(AND(BX$7=$I30,OR(ISNUMBER(SEARCH("採用",$E30)),ISNUMBER(SEARCH("総務",$E30)),ISNUMBER(SEARCH("工場長",$E30)),ISNUMBER(SEARCH("社長",$E30)),ISNUMBER(SEARCH("出演",$E30)))),"◆","")</f>
        <v/>
      </c>
      <c r="BY30" s="55" t="str">
        <f aca="false">IF(AND(BY$7=$I30,OR(ISNUMBER(SEARCH("採用",$E30)),ISNUMBER(SEARCH("総務",$E30)),ISNUMBER(SEARCH("工場長",$E30)),ISNUMBER(SEARCH("社長",$E30)),ISNUMBER(SEARCH("出演",$E30)))),"◆","")</f>
        <v/>
      </c>
      <c r="BZ30" s="55" t="str">
        <f aca="false">IF(AND(BZ$7=$I30,OR(ISNUMBER(SEARCH("採用",$E30)),ISNUMBER(SEARCH("総務",$E30)),ISNUMBER(SEARCH("工場長",$E30)),ISNUMBER(SEARCH("社長",$E30)),ISNUMBER(SEARCH("出演",$E30)))),"◆","")</f>
        <v/>
      </c>
      <c r="CA30" s="55" t="str">
        <f aca="false">IF(AND(CA$7=$I30,OR(ISNUMBER(SEARCH("採用",$E30)),ISNUMBER(SEARCH("総務",$E30)),ISNUMBER(SEARCH("工場長",$E30)),ISNUMBER(SEARCH("社長",$E30)),ISNUMBER(SEARCH("出演",$E30)))),"◆","")</f>
        <v/>
      </c>
      <c r="CB30" s="55" t="str">
        <f aca="false">IF(AND(CB$7=$I30,OR(ISNUMBER(SEARCH("採用",$E30)),ISNUMBER(SEARCH("総務",$E30)),ISNUMBER(SEARCH("工場長",$E30)),ISNUMBER(SEARCH("社長",$E30)),ISNUMBER(SEARCH("出演",$E30)))),"◆","")</f>
        <v/>
      </c>
      <c r="CC30" s="55" t="str">
        <f aca="false">IF(AND(CC$7=$I30,OR(ISNUMBER(SEARCH("採用",$E30)),ISNUMBER(SEARCH("総務",$E30)),ISNUMBER(SEARCH("工場長",$E30)),ISNUMBER(SEARCH("社長",$E30)),ISNUMBER(SEARCH("出演",$E30)))),"◆","")</f>
        <v/>
      </c>
      <c r="CD30" s="55" t="str">
        <f aca="false">IF(AND(CD$7=$I30,OR(ISNUMBER(SEARCH("採用",$E30)),ISNUMBER(SEARCH("総務",$E30)),ISNUMBER(SEARCH("工場長",$E30)),ISNUMBER(SEARCH("社長",$E30)),ISNUMBER(SEARCH("出演",$E30)))),"◆","")</f>
        <v/>
      </c>
      <c r="CE30" s="55" t="str">
        <f aca="false">IF(AND(CE$7=$I30,OR(ISNUMBER(SEARCH("採用",$E30)),ISNUMBER(SEARCH("総務",$E30)),ISNUMBER(SEARCH("工場長",$E30)),ISNUMBER(SEARCH("社長",$E30)),ISNUMBER(SEARCH("出演",$E30)))),"◆","")</f>
        <v/>
      </c>
      <c r="CF30" s="55" t="str">
        <f aca="false">IF(AND(CF$7=$I30,OR(ISNUMBER(SEARCH("採用",$E30)),ISNUMBER(SEARCH("総務",$E30)),ISNUMBER(SEARCH("工場長",$E30)),ISNUMBER(SEARCH("社長",$E30)),ISNUMBER(SEARCH("出演",$E30)))),"◆","")</f>
        <v/>
      </c>
      <c r="CG30" s="55" t="str">
        <f aca="false">IF(AND(CG$7=$I30,OR(ISNUMBER(SEARCH("採用",$E30)),ISNUMBER(SEARCH("総務",$E30)),ISNUMBER(SEARCH("工場長",$E30)),ISNUMBER(SEARCH("社長",$E30)),ISNUMBER(SEARCH("出演",$E30)))),"◆","")</f>
        <v/>
      </c>
      <c r="CH30" s="55" t="str">
        <f aca="false">IF(AND(CH$7=$I30,OR(ISNUMBER(SEARCH("採用",$E30)),ISNUMBER(SEARCH("総務",$E30)),ISNUMBER(SEARCH("工場長",$E30)),ISNUMBER(SEARCH("社長",$E30)),ISNUMBER(SEARCH("出演",$E30)))),"◆","")</f>
        <v/>
      </c>
      <c r="CI30" s="55" t="str">
        <f aca="false">IF(AND(CI$7=$I30,OR(ISNUMBER(SEARCH("採用",$E30)),ISNUMBER(SEARCH("総務",$E30)),ISNUMBER(SEARCH("工場長",$E30)),ISNUMBER(SEARCH("社長",$E30)),ISNUMBER(SEARCH("出演",$E30)))),"◆","")</f>
        <v/>
      </c>
      <c r="CJ30" s="55" t="str">
        <f aca="false">IF(AND(CJ$7=$I30,OR(ISNUMBER(SEARCH("採用",$E30)),ISNUMBER(SEARCH("総務",$E30)),ISNUMBER(SEARCH("工場長",$E30)),ISNUMBER(SEARCH("社長",$E30)),ISNUMBER(SEARCH("出演",$E30)))),"◆","")</f>
        <v/>
      </c>
      <c r="CK30" s="55" t="str">
        <f aca="false">IF(AND(CK$7=$I30,OR(ISNUMBER(SEARCH("採用",$E30)),ISNUMBER(SEARCH("総務",$E30)),ISNUMBER(SEARCH("工場長",$E30)),ISNUMBER(SEARCH("社長",$E30)),ISNUMBER(SEARCH("出演",$E30)))),"◆","")</f>
        <v/>
      </c>
      <c r="CL30" s="55" t="str">
        <f aca="false">IF(AND(CL$7=$I30,OR(ISNUMBER(SEARCH("採用",$E30)),ISNUMBER(SEARCH("総務",$E30)),ISNUMBER(SEARCH("工場長",$E30)),ISNUMBER(SEARCH("社長",$E30)),ISNUMBER(SEARCH("出演",$E30)))),"◆","")</f>
        <v/>
      </c>
      <c r="CM30" s="55" t="str">
        <f aca="false">IF(AND(CM$7=$I30,OR(ISNUMBER(SEARCH("採用",$E30)),ISNUMBER(SEARCH("総務",$E30)),ISNUMBER(SEARCH("工場長",$E30)),ISNUMBER(SEARCH("社長",$E30)),ISNUMBER(SEARCH("出演",$E30)))),"◆","")</f>
        <v/>
      </c>
      <c r="CN30" s="55" t="str">
        <f aca="false">IF(AND(CN$7=$I30,OR(ISNUMBER(SEARCH("採用",$E30)),ISNUMBER(SEARCH("総務",$E30)),ISNUMBER(SEARCH("工場長",$E30)),ISNUMBER(SEARCH("社長",$E30)),ISNUMBER(SEARCH("出演",$E30)))),"◆","")</f>
        <v/>
      </c>
      <c r="CO30" s="55" t="str">
        <f aca="false">IF(AND(CO$7=$I30,OR(ISNUMBER(SEARCH("採用",$E30)),ISNUMBER(SEARCH("総務",$E30)),ISNUMBER(SEARCH("工場長",$E30)),ISNUMBER(SEARCH("社長",$E30)),ISNUMBER(SEARCH("出演",$E30)))),"◆","")</f>
        <v/>
      </c>
      <c r="CP30" s="55" t="str">
        <f aca="false">IF(AND(CP$7=$I30,OR(ISNUMBER(SEARCH("採用",$E30)),ISNUMBER(SEARCH("総務",$E30)),ISNUMBER(SEARCH("工場長",$E30)),ISNUMBER(SEARCH("社長",$E30)),ISNUMBER(SEARCH("出演",$E30)))),"◆","")</f>
        <v/>
      </c>
    </row>
    <row r="31" customFormat="false" ht="21.75" hidden="false" customHeight="true" outlineLevel="0" collapsed="false">
      <c r="A31" s="43" t="s">
        <v>78</v>
      </c>
      <c r="B31" s="43"/>
      <c r="C31" s="43"/>
      <c r="D31" s="43"/>
      <c r="E31" s="43"/>
      <c r="F31" s="44" t="s">
        <v>73</v>
      </c>
      <c r="G31" s="45" t="n">
        <f aca="false">MIN(制作工程表!G25:G29)</f>
        <v>46356</v>
      </c>
      <c r="H31" s="45" t="n">
        <f aca="false">MAX(制作工程表!H25:H29)</f>
        <v>46379</v>
      </c>
      <c r="I31" s="45" t="n">
        <f aca="false">IF(MAX(制作工程表!I25:I29)=0,"—",MAX(制作工程表!I25:I29))</f>
        <v>46374</v>
      </c>
      <c r="J31" s="46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</row>
    <row r="32" customFormat="false" ht="25.5" hidden="false" customHeight="true" outlineLevel="0" collapsed="false">
      <c r="A32" s="48" t="str">
        <f aca="false">制作工程表!A25</f>
        <v>T17</v>
      </c>
      <c r="B32" s="49" t="str">
        <f aca="false">制作工程表!B25</f>
        <v>実装</v>
      </c>
      <c r="C32" s="50" t="str">
        <f aca="false">制作工程表!C25</f>
        <v>ページ実装・スマホ対応</v>
      </c>
      <c r="D32" s="51" t="str">
        <f aca="false">制作工程表!D25</f>
        <v>実装担当</v>
      </c>
      <c r="E32" s="51" t="str">
        <f aca="false">制作工程表!E25</f>
        <v>—</v>
      </c>
      <c r="F32" s="52" t="str">
        <f aca="false">IF(制作工程表!B25="取材撮影","撮影",IF(OR(制作工程表!D25="採用担当",制作工程表!D25="総務窓口",制作工程表!D25="工場長"),"企業","制作"))</f>
        <v>制作</v>
      </c>
      <c r="G32" s="53" t="n">
        <f aca="false">制作工程表!G25</f>
        <v>46356</v>
      </c>
      <c r="H32" s="53" t="n">
        <f aca="false">制作工程表!H25</f>
        <v>46365</v>
      </c>
      <c r="I32" s="54" t="str">
        <f aca="false">制作工程表!I25</f>
        <v>—</v>
      </c>
      <c r="J32" s="49" t="str">
        <f aca="false">制作工程表!K25</f>
        <v>未着手</v>
      </c>
      <c r="K32" s="55" t="str">
        <f aca="false">IF(AND(K$7=$I32,OR(ISNUMBER(SEARCH("採用",$E32)),ISNUMBER(SEARCH("総務",$E32)),ISNUMBER(SEARCH("工場長",$E32)),ISNUMBER(SEARCH("社長",$E32)),ISNUMBER(SEARCH("出演",$E32)))),"◆","")</f>
        <v/>
      </c>
      <c r="L32" s="55" t="str">
        <f aca="false">IF(AND(L$7=$I32,OR(ISNUMBER(SEARCH("採用",$E32)),ISNUMBER(SEARCH("総務",$E32)),ISNUMBER(SEARCH("工場長",$E32)),ISNUMBER(SEARCH("社長",$E32)),ISNUMBER(SEARCH("出演",$E32)))),"◆","")</f>
        <v/>
      </c>
      <c r="M32" s="55" t="str">
        <f aca="false">IF(AND(M$7=$I32,OR(ISNUMBER(SEARCH("採用",$E32)),ISNUMBER(SEARCH("総務",$E32)),ISNUMBER(SEARCH("工場長",$E32)),ISNUMBER(SEARCH("社長",$E32)),ISNUMBER(SEARCH("出演",$E32)))),"◆","")</f>
        <v/>
      </c>
      <c r="N32" s="55" t="str">
        <f aca="false">IF(AND(N$7=$I32,OR(ISNUMBER(SEARCH("採用",$E32)),ISNUMBER(SEARCH("総務",$E32)),ISNUMBER(SEARCH("工場長",$E32)),ISNUMBER(SEARCH("社長",$E32)),ISNUMBER(SEARCH("出演",$E32)))),"◆","")</f>
        <v/>
      </c>
      <c r="O32" s="55" t="str">
        <f aca="false">IF(AND(O$7=$I32,OR(ISNUMBER(SEARCH("採用",$E32)),ISNUMBER(SEARCH("総務",$E32)),ISNUMBER(SEARCH("工場長",$E32)),ISNUMBER(SEARCH("社長",$E32)),ISNUMBER(SEARCH("出演",$E32)))),"◆","")</f>
        <v/>
      </c>
      <c r="P32" s="55" t="str">
        <f aca="false">IF(AND(P$7=$I32,OR(ISNUMBER(SEARCH("採用",$E32)),ISNUMBER(SEARCH("総務",$E32)),ISNUMBER(SEARCH("工場長",$E32)),ISNUMBER(SEARCH("社長",$E32)),ISNUMBER(SEARCH("出演",$E32)))),"◆","")</f>
        <v/>
      </c>
      <c r="Q32" s="55" t="str">
        <f aca="false">IF(AND(Q$7=$I32,OR(ISNUMBER(SEARCH("採用",$E32)),ISNUMBER(SEARCH("総務",$E32)),ISNUMBER(SEARCH("工場長",$E32)),ISNUMBER(SEARCH("社長",$E32)),ISNUMBER(SEARCH("出演",$E32)))),"◆","")</f>
        <v/>
      </c>
      <c r="R32" s="55" t="str">
        <f aca="false">IF(AND(R$7=$I32,OR(ISNUMBER(SEARCH("採用",$E32)),ISNUMBER(SEARCH("総務",$E32)),ISNUMBER(SEARCH("工場長",$E32)),ISNUMBER(SEARCH("社長",$E32)),ISNUMBER(SEARCH("出演",$E32)))),"◆","")</f>
        <v/>
      </c>
      <c r="S32" s="55" t="str">
        <f aca="false">IF(AND(S$7=$I32,OR(ISNUMBER(SEARCH("採用",$E32)),ISNUMBER(SEARCH("総務",$E32)),ISNUMBER(SEARCH("工場長",$E32)),ISNUMBER(SEARCH("社長",$E32)),ISNUMBER(SEARCH("出演",$E32)))),"◆","")</f>
        <v/>
      </c>
      <c r="T32" s="55" t="str">
        <f aca="false">IF(AND(T$7=$I32,OR(ISNUMBER(SEARCH("採用",$E32)),ISNUMBER(SEARCH("総務",$E32)),ISNUMBER(SEARCH("工場長",$E32)),ISNUMBER(SEARCH("社長",$E32)),ISNUMBER(SEARCH("出演",$E32)))),"◆","")</f>
        <v/>
      </c>
      <c r="U32" s="55" t="str">
        <f aca="false">IF(AND(U$7=$I32,OR(ISNUMBER(SEARCH("採用",$E32)),ISNUMBER(SEARCH("総務",$E32)),ISNUMBER(SEARCH("工場長",$E32)),ISNUMBER(SEARCH("社長",$E32)),ISNUMBER(SEARCH("出演",$E32)))),"◆","")</f>
        <v/>
      </c>
      <c r="V32" s="55" t="str">
        <f aca="false">IF(AND(V$7=$I32,OR(ISNUMBER(SEARCH("採用",$E32)),ISNUMBER(SEARCH("総務",$E32)),ISNUMBER(SEARCH("工場長",$E32)),ISNUMBER(SEARCH("社長",$E32)),ISNUMBER(SEARCH("出演",$E32)))),"◆","")</f>
        <v/>
      </c>
      <c r="W32" s="55" t="str">
        <f aca="false">IF(AND(W$7=$I32,OR(ISNUMBER(SEARCH("採用",$E32)),ISNUMBER(SEARCH("総務",$E32)),ISNUMBER(SEARCH("工場長",$E32)),ISNUMBER(SEARCH("社長",$E32)),ISNUMBER(SEARCH("出演",$E32)))),"◆","")</f>
        <v/>
      </c>
      <c r="X32" s="55" t="str">
        <f aca="false">IF(AND(X$7=$I32,OR(ISNUMBER(SEARCH("採用",$E32)),ISNUMBER(SEARCH("総務",$E32)),ISNUMBER(SEARCH("工場長",$E32)),ISNUMBER(SEARCH("社長",$E32)),ISNUMBER(SEARCH("出演",$E32)))),"◆","")</f>
        <v/>
      </c>
      <c r="Y32" s="55" t="str">
        <f aca="false">IF(AND(Y$7=$I32,OR(ISNUMBER(SEARCH("採用",$E32)),ISNUMBER(SEARCH("総務",$E32)),ISNUMBER(SEARCH("工場長",$E32)),ISNUMBER(SEARCH("社長",$E32)),ISNUMBER(SEARCH("出演",$E32)))),"◆","")</f>
        <v/>
      </c>
      <c r="Z32" s="55" t="str">
        <f aca="false">IF(AND(Z$7=$I32,OR(ISNUMBER(SEARCH("採用",$E32)),ISNUMBER(SEARCH("総務",$E32)),ISNUMBER(SEARCH("工場長",$E32)),ISNUMBER(SEARCH("社長",$E32)),ISNUMBER(SEARCH("出演",$E32)))),"◆","")</f>
        <v/>
      </c>
      <c r="AA32" s="55" t="str">
        <f aca="false">IF(AND(AA$7=$I32,OR(ISNUMBER(SEARCH("採用",$E32)),ISNUMBER(SEARCH("総務",$E32)),ISNUMBER(SEARCH("工場長",$E32)),ISNUMBER(SEARCH("社長",$E32)),ISNUMBER(SEARCH("出演",$E32)))),"◆","")</f>
        <v/>
      </c>
      <c r="AB32" s="55" t="str">
        <f aca="false">IF(AND(AB$7=$I32,OR(ISNUMBER(SEARCH("採用",$E32)),ISNUMBER(SEARCH("総務",$E32)),ISNUMBER(SEARCH("工場長",$E32)),ISNUMBER(SEARCH("社長",$E32)),ISNUMBER(SEARCH("出演",$E32)))),"◆","")</f>
        <v/>
      </c>
      <c r="AC32" s="55" t="str">
        <f aca="false">IF(AND(AC$7=$I32,OR(ISNUMBER(SEARCH("採用",$E32)),ISNUMBER(SEARCH("総務",$E32)),ISNUMBER(SEARCH("工場長",$E32)),ISNUMBER(SEARCH("社長",$E32)),ISNUMBER(SEARCH("出演",$E32)))),"◆","")</f>
        <v/>
      </c>
      <c r="AD32" s="55" t="str">
        <f aca="false">IF(AND(AD$7=$I32,OR(ISNUMBER(SEARCH("採用",$E32)),ISNUMBER(SEARCH("総務",$E32)),ISNUMBER(SEARCH("工場長",$E32)),ISNUMBER(SEARCH("社長",$E32)),ISNUMBER(SEARCH("出演",$E32)))),"◆","")</f>
        <v/>
      </c>
      <c r="AE32" s="55" t="str">
        <f aca="false">IF(AND(AE$7=$I32,OR(ISNUMBER(SEARCH("採用",$E32)),ISNUMBER(SEARCH("総務",$E32)),ISNUMBER(SEARCH("工場長",$E32)),ISNUMBER(SEARCH("社長",$E32)),ISNUMBER(SEARCH("出演",$E32)))),"◆","")</f>
        <v/>
      </c>
      <c r="AF32" s="55" t="str">
        <f aca="false">IF(AND(AF$7=$I32,OR(ISNUMBER(SEARCH("採用",$E32)),ISNUMBER(SEARCH("総務",$E32)),ISNUMBER(SEARCH("工場長",$E32)),ISNUMBER(SEARCH("社長",$E32)),ISNUMBER(SEARCH("出演",$E32)))),"◆","")</f>
        <v/>
      </c>
      <c r="AG32" s="55" t="str">
        <f aca="false">IF(AND(AG$7=$I32,OR(ISNUMBER(SEARCH("採用",$E32)),ISNUMBER(SEARCH("総務",$E32)),ISNUMBER(SEARCH("工場長",$E32)),ISNUMBER(SEARCH("社長",$E32)),ISNUMBER(SEARCH("出演",$E32)))),"◆","")</f>
        <v/>
      </c>
      <c r="AH32" s="55" t="str">
        <f aca="false">IF(AND(AH$7=$I32,OR(ISNUMBER(SEARCH("採用",$E32)),ISNUMBER(SEARCH("総務",$E32)),ISNUMBER(SEARCH("工場長",$E32)),ISNUMBER(SEARCH("社長",$E32)),ISNUMBER(SEARCH("出演",$E32)))),"◆","")</f>
        <v/>
      </c>
      <c r="AI32" s="55" t="str">
        <f aca="false">IF(AND(AI$7=$I32,OR(ISNUMBER(SEARCH("採用",$E32)),ISNUMBER(SEARCH("総務",$E32)),ISNUMBER(SEARCH("工場長",$E32)),ISNUMBER(SEARCH("社長",$E32)),ISNUMBER(SEARCH("出演",$E32)))),"◆","")</f>
        <v/>
      </c>
      <c r="AJ32" s="55" t="str">
        <f aca="false">IF(AND(AJ$7=$I32,OR(ISNUMBER(SEARCH("採用",$E32)),ISNUMBER(SEARCH("総務",$E32)),ISNUMBER(SEARCH("工場長",$E32)),ISNUMBER(SEARCH("社長",$E32)),ISNUMBER(SEARCH("出演",$E32)))),"◆","")</f>
        <v/>
      </c>
      <c r="AK32" s="55" t="str">
        <f aca="false">IF(AND(AK$7=$I32,OR(ISNUMBER(SEARCH("採用",$E32)),ISNUMBER(SEARCH("総務",$E32)),ISNUMBER(SEARCH("工場長",$E32)),ISNUMBER(SEARCH("社長",$E32)),ISNUMBER(SEARCH("出演",$E32)))),"◆","")</f>
        <v/>
      </c>
      <c r="AL32" s="55" t="str">
        <f aca="false">IF(AND(AL$7=$I32,OR(ISNUMBER(SEARCH("採用",$E32)),ISNUMBER(SEARCH("総務",$E32)),ISNUMBER(SEARCH("工場長",$E32)),ISNUMBER(SEARCH("社長",$E32)),ISNUMBER(SEARCH("出演",$E32)))),"◆","")</f>
        <v/>
      </c>
      <c r="AM32" s="55" t="str">
        <f aca="false">IF(AND(AM$7=$I32,OR(ISNUMBER(SEARCH("採用",$E32)),ISNUMBER(SEARCH("総務",$E32)),ISNUMBER(SEARCH("工場長",$E32)),ISNUMBER(SEARCH("社長",$E32)),ISNUMBER(SEARCH("出演",$E32)))),"◆","")</f>
        <v/>
      </c>
      <c r="AN32" s="55" t="str">
        <f aca="false">IF(AND(AN$7=$I32,OR(ISNUMBER(SEARCH("採用",$E32)),ISNUMBER(SEARCH("総務",$E32)),ISNUMBER(SEARCH("工場長",$E32)),ISNUMBER(SEARCH("社長",$E32)),ISNUMBER(SEARCH("出演",$E32)))),"◆","")</f>
        <v/>
      </c>
      <c r="AO32" s="55" t="str">
        <f aca="false">IF(AND(AO$7=$I32,OR(ISNUMBER(SEARCH("採用",$E32)),ISNUMBER(SEARCH("総務",$E32)),ISNUMBER(SEARCH("工場長",$E32)),ISNUMBER(SEARCH("社長",$E32)),ISNUMBER(SEARCH("出演",$E32)))),"◆","")</f>
        <v/>
      </c>
      <c r="AP32" s="55" t="str">
        <f aca="false">IF(AND(AP$7=$I32,OR(ISNUMBER(SEARCH("採用",$E32)),ISNUMBER(SEARCH("総務",$E32)),ISNUMBER(SEARCH("工場長",$E32)),ISNUMBER(SEARCH("社長",$E32)),ISNUMBER(SEARCH("出演",$E32)))),"◆","")</f>
        <v/>
      </c>
      <c r="AQ32" s="55" t="str">
        <f aca="false">IF(AND(AQ$7=$I32,OR(ISNUMBER(SEARCH("採用",$E32)),ISNUMBER(SEARCH("総務",$E32)),ISNUMBER(SEARCH("工場長",$E32)),ISNUMBER(SEARCH("社長",$E32)),ISNUMBER(SEARCH("出演",$E32)))),"◆","")</f>
        <v/>
      </c>
      <c r="AR32" s="55" t="str">
        <f aca="false">IF(AND(AR$7=$I32,OR(ISNUMBER(SEARCH("採用",$E32)),ISNUMBER(SEARCH("総務",$E32)),ISNUMBER(SEARCH("工場長",$E32)),ISNUMBER(SEARCH("社長",$E32)),ISNUMBER(SEARCH("出演",$E32)))),"◆","")</f>
        <v/>
      </c>
      <c r="AS32" s="55" t="str">
        <f aca="false">IF(AND(AS$7=$I32,OR(ISNUMBER(SEARCH("採用",$E32)),ISNUMBER(SEARCH("総務",$E32)),ISNUMBER(SEARCH("工場長",$E32)),ISNUMBER(SEARCH("社長",$E32)),ISNUMBER(SEARCH("出演",$E32)))),"◆","")</f>
        <v/>
      </c>
      <c r="AT32" s="55" t="str">
        <f aca="false">IF(AND(AT$7=$I32,OR(ISNUMBER(SEARCH("採用",$E32)),ISNUMBER(SEARCH("総務",$E32)),ISNUMBER(SEARCH("工場長",$E32)),ISNUMBER(SEARCH("社長",$E32)),ISNUMBER(SEARCH("出演",$E32)))),"◆","")</f>
        <v/>
      </c>
      <c r="AU32" s="55" t="str">
        <f aca="false">IF(AND(AU$7=$I32,OR(ISNUMBER(SEARCH("採用",$E32)),ISNUMBER(SEARCH("総務",$E32)),ISNUMBER(SEARCH("工場長",$E32)),ISNUMBER(SEARCH("社長",$E32)),ISNUMBER(SEARCH("出演",$E32)))),"◆","")</f>
        <v/>
      </c>
      <c r="AV32" s="55" t="str">
        <f aca="false">IF(AND(AV$7=$I32,OR(ISNUMBER(SEARCH("採用",$E32)),ISNUMBER(SEARCH("総務",$E32)),ISNUMBER(SEARCH("工場長",$E32)),ISNUMBER(SEARCH("社長",$E32)),ISNUMBER(SEARCH("出演",$E32)))),"◆","")</f>
        <v/>
      </c>
      <c r="AW32" s="55" t="str">
        <f aca="false">IF(AND(AW$7=$I32,OR(ISNUMBER(SEARCH("採用",$E32)),ISNUMBER(SEARCH("総務",$E32)),ISNUMBER(SEARCH("工場長",$E32)),ISNUMBER(SEARCH("社長",$E32)),ISNUMBER(SEARCH("出演",$E32)))),"◆","")</f>
        <v/>
      </c>
      <c r="AX32" s="55" t="str">
        <f aca="false">IF(AND(AX$7=$I32,OR(ISNUMBER(SEARCH("採用",$E32)),ISNUMBER(SEARCH("総務",$E32)),ISNUMBER(SEARCH("工場長",$E32)),ISNUMBER(SEARCH("社長",$E32)),ISNUMBER(SEARCH("出演",$E32)))),"◆","")</f>
        <v/>
      </c>
      <c r="AY32" s="55" t="str">
        <f aca="false">IF(AND(AY$7=$I32,OR(ISNUMBER(SEARCH("採用",$E32)),ISNUMBER(SEARCH("総務",$E32)),ISNUMBER(SEARCH("工場長",$E32)),ISNUMBER(SEARCH("社長",$E32)),ISNUMBER(SEARCH("出演",$E32)))),"◆","")</f>
        <v/>
      </c>
      <c r="AZ32" s="55" t="str">
        <f aca="false">IF(AND(AZ$7=$I32,OR(ISNUMBER(SEARCH("採用",$E32)),ISNUMBER(SEARCH("総務",$E32)),ISNUMBER(SEARCH("工場長",$E32)),ISNUMBER(SEARCH("社長",$E32)),ISNUMBER(SEARCH("出演",$E32)))),"◆","")</f>
        <v/>
      </c>
      <c r="BA32" s="55" t="str">
        <f aca="false">IF(AND(BA$7=$I32,OR(ISNUMBER(SEARCH("採用",$E32)),ISNUMBER(SEARCH("総務",$E32)),ISNUMBER(SEARCH("工場長",$E32)),ISNUMBER(SEARCH("社長",$E32)),ISNUMBER(SEARCH("出演",$E32)))),"◆","")</f>
        <v/>
      </c>
      <c r="BB32" s="55" t="str">
        <f aca="false">IF(AND(BB$7=$I32,OR(ISNUMBER(SEARCH("採用",$E32)),ISNUMBER(SEARCH("総務",$E32)),ISNUMBER(SEARCH("工場長",$E32)),ISNUMBER(SEARCH("社長",$E32)),ISNUMBER(SEARCH("出演",$E32)))),"◆","")</f>
        <v/>
      </c>
      <c r="BC32" s="55" t="str">
        <f aca="false">IF(AND(BC$7=$I32,OR(ISNUMBER(SEARCH("採用",$E32)),ISNUMBER(SEARCH("総務",$E32)),ISNUMBER(SEARCH("工場長",$E32)),ISNUMBER(SEARCH("社長",$E32)),ISNUMBER(SEARCH("出演",$E32)))),"◆","")</f>
        <v/>
      </c>
      <c r="BD32" s="55" t="str">
        <f aca="false">IF(AND(BD$7=$I32,OR(ISNUMBER(SEARCH("採用",$E32)),ISNUMBER(SEARCH("総務",$E32)),ISNUMBER(SEARCH("工場長",$E32)),ISNUMBER(SEARCH("社長",$E32)),ISNUMBER(SEARCH("出演",$E32)))),"◆","")</f>
        <v/>
      </c>
      <c r="BE32" s="55" t="str">
        <f aca="false">IF(AND(BE$7=$I32,OR(ISNUMBER(SEARCH("採用",$E32)),ISNUMBER(SEARCH("総務",$E32)),ISNUMBER(SEARCH("工場長",$E32)),ISNUMBER(SEARCH("社長",$E32)),ISNUMBER(SEARCH("出演",$E32)))),"◆","")</f>
        <v/>
      </c>
      <c r="BF32" s="55" t="str">
        <f aca="false">IF(AND(BF$7=$I32,OR(ISNUMBER(SEARCH("採用",$E32)),ISNUMBER(SEARCH("総務",$E32)),ISNUMBER(SEARCH("工場長",$E32)),ISNUMBER(SEARCH("社長",$E32)),ISNUMBER(SEARCH("出演",$E32)))),"◆","")</f>
        <v/>
      </c>
      <c r="BG32" s="55" t="str">
        <f aca="false">IF(AND(BG$7=$I32,OR(ISNUMBER(SEARCH("採用",$E32)),ISNUMBER(SEARCH("総務",$E32)),ISNUMBER(SEARCH("工場長",$E32)),ISNUMBER(SEARCH("社長",$E32)),ISNUMBER(SEARCH("出演",$E32)))),"◆","")</f>
        <v/>
      </c>
      <c r="BH32" s="55" t="str">
        <f aca="false">IF(AND(BH$7=$I32,OR(ISNUMBER(SEARCH("採用",$E32)),ISNUMBER(SEARCH("総務",$E32)),ISNUMBER(SEARCH("工場長",$E32)),ISNUMBER(SEARCH("社長",$E32)),ISNUMBER(SEARCH("出演",$E32)))),"◆","")</f>
        <v/>
      </c>
      <c r="BI32" s="55" t="str">
        <f aca="false">IF(AND(BI$7=$I32,OR(ISNUMBER(SEARCH("採用",$E32)),ISNUMBER(SEARCH("総務",$E32)),ISNUMBER(SEARCH("工場長",$E32)),ISNUMBER(SEARCH("社長",$E32)),ISNUMBER(SEARCH("出演",$E32)))),"◆","")</f>
        <v/>
      </c>
      <c r="BJ32" s="55" t="str">
        <f aca="false">IF(AND(BJ$7=$I32,OR(ISNUMBER(SEARCH("採用",$E32)),ISNUMBER(SEARCH("総務",$E32)),ISNUMBER(SEARCH("工場長",$E32)),ISNUMBER(SEARCH("社長",$E32)),ISNUMBER(SEARCH("出演",$E32)))),"◆","")</f>
        <v/>
      </c>
      <c r="BK32" s="55" t="str">
        <f aca="false">IF(AND(BK$7=$I32,OR(ISNUMBER(SEARCH("採用",$E32)),ISNUMBER(SEARCH("総務",$E32)),ISNUMBER(SEARCH("工場長",$E32)),ISNUMBER(SEARCH("社長",$E32)),ISNUMBER(SEARCH("出演",$E32)))),"◆","")</f>
        <v/>
      </c>
      <c r="BL32" s="55" t="str">
        <f aca="false">IF(AND(BL$7=$I32,OR(ISNUMBER(SEARCH("採用",$E32)),ISNUMBER(SEARCH("総務",$E32)),ISNUMBER(SEARCH("工場長",$E32)),ISNUMBER(SEARCH("社長",$E32)),ISNUMBER(SEARCH("出演",$E32)))),"◆","")</f>
        <v/>
      </c>
      <c r="BM32" s="55" t="str">
        <f aca="false">IF(AND(BM$7=$I32,OR(ISNUMBER(SEARCH("採用",$E32)),ISNUMBER(SEARCH("総務",$E32)),ISNUMBER(SEARCH("工場長",$E32)),ISNUMBER(SEARCH("社長",$E32)),ISNUMBER(SEARCH("出演",$E32)))),"◆","")</f>
        <v/>
      </c>
      <c r="BN32" s="55" t="str">
        <f aca="false">IF(AND(BN$7=$I32,OR(ISNUMBER(SEARCH("採用",$E32)),ISNUMBER(SEARCH("総務",$E32)),ISNUMBER(SEARCH("工場長",$E32)),ISNUMBER(SEARCH("社長",$E32)),ISNUMBER(SEARCH("出演",$E32)))),"◆","")</f>
        <v/>
      </c>
      <c r="BO32" s="55" t="str">
        <f aca="false">IF(AND(BO$7=$I32,OR(ISNUMBER(SEARCH("採用",$E32)),ISNUMBER(SEARCH("総務",$E32)),ISNUMBER(SEARCH("工場長",$E32)),ISNUMBER(SEARCH("社長",$E32)),ISNUMBER(SEARCH("出演",$E32)))),"◆","")</f>
        <v/>
      </c>
      <c r="BP32" s="55" t="str">
        <f aca="false">IF(AND(BP$7=$I32,OR(ISNUMBER(SEARCH("採用",$E32)),ISNUMBER(SEARCH("総務",$E32)),ISNUMBER(SEARCH("工場長",$E32)),ISNUMBER(SEARCH("社長",$E32)),ISNUMBER(SEARCH("出演",$E32)))),"◆","")</f>
        <v/>
      </c>
      <c r="BQ32" s="55" t="str">
        <f aca="false">IF(AND(BQ$7=$I32,OR(ISNUMBER(SEARCH("採用",$E32)),ISNUMBER(SEARCH("総務",$E32)),ISNUMBER(SEARCH("工場長",$E32)),ISNUMBER(SEARCH("社長",$E32)),ISNUMBER(SEARCH("出演",$E32)))),"◆","")</f>
        <v/>
      </c>
      <c r="BR32" s="55" t="str">
        <f aca="false">IF(AND(BR$7=$I32,OR(ISNUMBER(SEARCH("採用",$E32)),ISNUMBER(SEARCH("総務",$E32)),ISNUMBER(SEARCH("工場長",$E32)),ISNUMBER(SEARCH("社長",$E32)),ISNUMBER(SEARCH("出演",$E32)))),"◆","")</f>
        <v/>
      </c>
      <c r="BS32" s="55" t="str">
        <f aca="false">IF(AND(BS$7=$I32,OR(ISNUMBER(SEARCH("採用",$E32)),ISNUMBER(SEARCH("総務",$E32)),ISNUMBER(SEARCH("工場長",$E32)),ISNUMBER(SEARCH("社長",$E32)),ISNUMBER(SEARCH("出演",$E32)))),"◆","")</f>
        <v/>
      </c>
      <c r="BT32" s="55" t="str">
        <f aca="false">IF(AND(BT$7=$I32,OR(ISNUMBER(SEARCH("採用",$E32)),ISNUMBER(SEARCH("総務",$E32)),ISNUMBER(SEARCH("工場長",$E32)),ISNUMBER(SEARCH("社長",$E32)),ISNUMBER(SEARCH("出演",$E32)))),"◆","")</f>
        <v/>
      </c>
      <c r="BU32" s="55" t="str">
        <f aca="false">IF(AND(BU$7=$I32,OR(ISNUMBER(SEARCH("採用",$E32)),ISNUMBER(SEARCH("総務",$E32)),ISNUMBER(SEARCH("工場長",$E32)),ISNUMBER(SEARCH("社長",$E32)),ISNUMBER(SEARCH("出演",$E32)))),"◆","")</f>
        <v/>
      </c>
      <c r="BV32" s="55" t="str">
        <f aca="false">IF(AND(BV$7=$I32,OR(ISNUMBER(SEARCH("採用",$E32)),ISNUMBER(SEARCH("総務",$E32)),ISNUMBER(SEARCH("工場長",$E32)),ISNUMBER(SEARCH("社長",$E32)),ISNUMBER(SEARCH("出演",$E32)))),"◆","")</f>
        <v/>
      </c>
      <c r="BW32" s="55" t="str">
        <f aca="false">IF(AND(BW$7=$I32,OR(ISNUMBER(SEARCH("採用",$E32)),ISNUMBER(SEARCH("総務",$E32)),ISNUMBER(SEARCH("工場長",$E32)),ISNUMBER(SEARCH("社長",$E32)),ISNUMBER(SEARCH("出演",$E32)))),"◆","")</f>
        <v/>
      </c>
      <c r="BX32" s="55" t="str">
        <f aca="false">IF(AND(BX$7=$I32,OR(ISNUMBER(SEARCH("採用",$E32)),ISNUMBER(SEARCH("総務",$E32)),ISNUMBER(SEARCH("工場長",$E32)),ISNUMBER(SEARCH("社長",$E32)),ISNUMBER(SEARCH("出演",$E32)))),"◆","")</f>
        <v/>
      </c>
      <c r="BY32" s="55" t="str">
        <f aca="false">IF(AND(BY$7=$I32,OR(ISNUMBER(SEARCH("採用",$E32)),ISNUMBER(SEARCH("総務",$E32)),ISNUMBER(SEARCH("工場長",$E32)),ISNUMBER(SEARCH("社長",$E32)),ISNUMBER(SEARCH("出演",$E32)))),"◆","")</f>
        <v/>
      </c>
      <c r="BZ32" s="55" t="str">
        <f aca="false">IF(AND(BZ$7=$I32,OR(ISNUMBER(SEARCH("採用",$E32)),ISNUMBER(SEARCH("総務",$E32)),ISNUMBER(SEARCH("工場長",$E32)),ISNUMBER(SEARCH("社長",$E32)),ISNUMBER(SEARCH("出演",$E32)))),"◆","")</f>
        <v/>
      </c>
      <c r="CA32" s="55" t="str">
        <f aca="false">IF(AND(CA$7=$I32,OR(ISNUMBER(SEARCH("採用",$E32)),ISNUMBER(SEARCH("総務",$E32)),ISNUMBER(SEARCH("工場長",$E32)),ISNUMBER(SEARCH("社長",$E32)),ISNUMBER(SEARCH("出演",$E32)))),"◆","")</f>
        <v/>
      </c>
      <c r="CB32" s="55" t="str">
        <f aca="false">IF(AND(CB$7=$I32,OR(ISNUMBER(SEARCH("採用",$E32)),ISNUMBER(SEARCH("総務",$E32)),ISNUMBER(SEARCH("工場長",$E32)),ISNUMBER(SEARCH("社長",$E32)),ISNUMBER(SEARCH("出演",$E32)))),"◆","")</f>
        <v/>
      </c>
      <c r="CC32" s="55" t="str">
        <f aca="false">IF(AND(CC$7=$I32,OR(ISNUMBER(SEARCH("採用",$E32)),ISNUMBER(SEARCH("総務",$E32)),ISNUMBER(SEARCH("工場長",$E32)),ISNUMBER(SEARCH("社長",$E32)),ISNUMBER(SEARCH("出演",$E32)))),"◆","")</f>
        <v/>
      </c>
      <c r="CD32" s="55" t="str">
        <f aca="false">IF(AND(CD$7=$I32,OR(ISNUMBER(SEARCH("採用",$E32)),ISNUMBER(SEARCH("総務",$E32)),ISNUMBER(SEARCH("工場長",$E32)),ISNUMBER(SEARCH("社長",$E32)),ISNUMBER(SEARCH("出演",$E32)))),"◆","")</f>
        <v/>
      </c>
      <c r="CE32" s="55" t="str">
        <f aca="false">IF(AND(CE$7=$I32,OR(ISNUMBER(SEARCH("採用",$E32)),ISNUMBER(SEARCH("総務",$E32)),ISNUMBER(SEARCH("工場長",$E32)),ISNUMBER(SEARCH("社長",$E32)),ISNUMBER(SEARCH("出演",$E32)))),"◆","")</f>
        <v/>
      </c>
      <c r="CF32" s="55" t="str">
        <f aca="false">IF(AND(CF$7=$I32,OR(ISNUMBER(SEARCH("採用",$E32)),ISNUMBER(SEARCH("総務",$E32)),ISNUMBER(SEARCH("工場長",$E32)),ISNUMBER(SEARCH("社長",$E32)),ISNUMBER(SEARCH("出演",$E32)))),"◆","")</f>
        <v/>
      </c>
      <c r="CG32" s="55" t="str">
        <f aca="false">IF(AND(CG$7=$I32,OR(ISNUMBER(SEARCH("採用",$E32)),ISNUMBER(SEARCH("総務",$E32)),ISNUMBER(SEARCH("工場長",$E32)),ISNUMBER(SEARCH("社長",$E32)),ISNUMBER(SEARCH("出演",$E32)))),"◆","")</f>
        <v/>
      </c>
      <c r="CH32" s="55" t="str">
        <f aca="false">IF(AND(CH$7=$I32,OR(ISNUMBER(SEARCH("採用",$E32)),ISNUMBER(SEARCH("総務",$E32)),ISNUMBER(SEARCH("工場長",$E32)),ISNUMBER(SEARCH("社長",$E32)),ISNUMBER(SEARCH("出演",$E32)))),"◆","")</f>
        <v/>
      </c>
      <c r="CI32" s="55" t="str">
        <f aca="false">IF(AND(CI$7=$I32,OR(ISNUMBER(SEARCH("採用",$E32)),ISNUMBER(SEARCH("総務",$E32)),ISNUMBER(SEARCH("工場長",$E32)),ISNUMBER(SEARCH("社長",$E32)),ISNUMBER(SEARCH("出演",$E32)))),"◆","")</f>
        <v/>
      </c>
      <c r="CJ32" s="55" t="str">
        <f aca="false">IF(AND(CJ$7=$I32,OR(ISNUMBER(SEARCH("採用",$E32)),ISNUMBER(SEARCH("総務",$E32)),ISNUMBER(SEARCH("工場長",$E32)),ISNUMBER(SEARCH("社長",$E32)),ISNUMBER(SEARCH("出演",$E32)))),"◆","")</f>
        <v/>
      </c>
      <c r="CK32" s="55" t="str">
        <f aca="false">IF(AND(CK$7=$I32,OR(ISNUMBER(SEARCH("採用",$E32)),ISNUMBER(SEARCH("総務",$E32)),ISNUMBER(SEARCH("工場長",$E32)),ISNUMBER(SEARCH("社長",$E32)),ISNUMBER(SEARCH("出演",$E32)))),"◆","")</f>
        <v/>
      </c>
      <c r="CL32" s="55" t="str">
        <f aca="false">IF(AND(CL$7=$I32,OR(ISNUMBER(SEARCH("採用",$E32)),ISNUMBER(SEARCH("総務",$E32)),ISNUMBER(SEARCH("工場長",$E32)),ISNUMBER(SEARCH("社長",$E32)),ISNUMBER(SEARCH("出演",$E32)))),"◆","")</f>
        <v/>
      </c>
      <c r="CM32" s="55" t="str">
        <f aca="false">IF(AND(CM$7=$I32,OR(ISNUMBER(SEARCH("採用",$E32)),ISNUMBER(SEARCH("総務",$E32)),ISNUMBER(SEARCH("工場長",$E32)),ISNUMBER(SEARCH("社長",$E32)),ISNUMBER(SEARCH("出演",$E32)))),"◆","")</f>
        <v/>
      </c>
      <c r="CN32" s="55" t="str">
        <f aca="false">IF(AND(CN$7=$I32,OR(ISNUMBER(SEARCH("採用",$E32)),ISNUMBER(SEARCH("総務",$E32)),ISNUMBER(SEARCH("工場長",$E32)),ISNUMBER(SEARCH("社長",$E32)),ISNUMBER(SEARCH("出演",$E32)))),"◆","")</f>
        <v/>
      </c>
      <c r="CO32" s="55" t="str">
        <f aca="false">IF(AND(CO$7=$I32,OR(ISNUMBER(SEARCH("採用",$E32)),ISNUMBER(SEARCH("総務",$E32)),ISNUMBER(SEARCH("工場長",$E32)),ISNUMBER(SEARCH("社長",$E32)),ISNUMBER(SEARCH("出演",$E32)))),"◆","")</f>
        <v/>
      </c>
      <c r="CP32" s="55" t="str">
        <f aca="false">IF(AND(CP$7=$I32,OR(ISNUMBER(SEARCH("採用",$E32)),ISNUMBER(SEARCH("総務",$E32)),ISNUMBER(SEARCH("工場長",$E32)),ISNUMBER(SEARCH("社長",$E32)),ISNUMBER(SEARCH("出演",$E32)))),"◆","")</f>
        <v/>
      </c>
    </row>
    <row r="33" customFormat="false" ht="25.5" hidden="false" customHeight="true" outlineLevel="0" collapsed="false">
      <c r="A33" s="48" t="str">
        <f aca="false">制作工程表!A26</f>
        <v>T18</v>
      </c>
      <c r="B33" s="49" t="str">
        <f aca="false">制作工程表!B26</f>
        <v>確認</v>
      </c>
      <c r="C33" s="50" t="str">
        <f aca="false">制作工程表!C26</f>
        <v>リンク・表示・文字・操作の確認（制作内）</v>
      </c>
      <c r="D33" s="51" t="str">
        <f aca="false">制作工程表!D26</f>
        <v>実装担当・編集ディレクター</v>
      </c>
      <c r="E33" s="51" t="str">
        <f aca="false">制作工程表!E26</f>
        <v>—</v>
      </c>
      <c r="F33" s="52" t="str">
        <f aca="false">IF(制作工程表!B26="取材撮影","撮影",IF(OR(制作工程表!D26="採用担当",制作工程表!D26="総務窓口",制作工程表!D26="工場長"),"企業","制作"))</f>
        <v>制作</v>
      </c>
      <c r="G33" s="53" t="n">
        <f aca="false">制作工程表!G26</f>
        <v>46366</v>
      </c>
      <c r="H33" s="53" t="n">
        <f aca="false">制作工程表!H26</f>
        <v>46367</v>
      </c>
      <c r="I33" s="54" t="str">
        <f aca="false">制作工程表!I26</f>
        <v>—</v>
      </c>
      <c r="J33" s="49" t="str">
        <f aca="false">制作工程表!K26</f>
        <v>未着手</v>
      </c>
      <c r="K33" s="55" t="str">
        <f aca="false">IF(AND(K$7=$I33,OR(ISNUMBER(SEARCH("採用",$E33)),ISNUMBER(SEARCH("総務",$E33)),ISNUMBER(SEARCH("工場長",$E33)),ISNUMBER(SEARCH("社長",$E33)),ISNUMBER(SEARCH("出演",$E33)))),"◆","")</f>
        <v/>
      </c>
      <c r="L33" s="55" t="str">
        <f aca="false">IF(AND(L$7=$I33,OR(ISNUMBER(SEARCH("採用",$E33)),ISNUMBER(SEARCH("総務",$E33)),ISNUMBER(SEARCH("工場長",$E33)),ISNUMBER(SEARCH("社長",$E33)),ISNUMBER(SEARCH("出演",$E33)))),"◆","")</f>
        <v/>
      </c>
      <c r="M33" s="55" t="str">
        <f aca="false">IF(AND(M$7=$I33,OR(ISNUMBER(SEARCH("採用",$E33)),ISNUMBER(SEARCH("総務",$E33)),ISNUMBER(SEARCH("工場長",$E33)),ISNUMBER(SEARCH("社長",$E33)),ISNUMBER(SEARCH("出演",$E33)))),"◆","")</f>
        <v/>
      </c>
      <c r="N33" s="55" t="str">
        <f aca="false">IF(AND(N$7=$I33,OR(ISNUMBER(SEARCH("採用",$E33)),ISNUMBER(SEARCH("総務",$E33)),ISNUMBER(SEARCH("工場長",$E33)),ISNUMBER(SEARCH("社長",$E33)),ISNUMBER(SEARCH("出演",$E33)))),"◆","")</f>
        <v/>
      </c>
      <c r="O33" s="55" t="str">
        <f aca="false">IF(AND(O$7=$I33,OR(ISNUMBER(SEARCH("採用",$E33)),ISNUMBER(SEARCH("総務",$E33)),ISNUMBER(SEARCH("工場長",$E33)),ISNUMBER(SEARCH("社長",$E33)),ISNUMBER(SEARCH("出演",$E33)))),"◆","")</f>
        <v/>
      </c>
      <c r="P33" s="55" t="str">
        <f aca="false">IF(AND(P$7=$I33,OR(ISNUMBER(SEARCH("採用",$E33)),ISNUMBER(SEARCH("総務",$E33)),ISNUMBER(SEARCH("工場長",$E33)),ISNUMBER(SEARCH("社長",$E33)),ISNUMBER(SEARCH("出演",$E33)))),"◆","")</f>
        <v/>
      </c>
      <c r="Q33" s="55" t="str">
        <f aca="false">IF(AND(Q$7=$I33,OR(ISNUMBER(SEARCH("採用",$E33)),ISNUMBER(SEARCH("総務",$E33)),ISNUMBER(SEARCH("工場長",$E33)),ISNUMBER(SEARCH("社長",$E33)),ISNUMBER(SEARCH("出演",$E33)))),"◆","")</f>
        <v/>
      </c>
      <c r="R33" s="55" t="str">
        <f aca="false">IF(AND(R$7=$I33,OR(ISNUMBER(SEARCH("採用",$E33)),ISNUMBER(SEARCH("総務",$E33)),ISNUMBER(SEARCH("工場長",$E33)),ISNUMBER(SEARCH("社長",$E33)),ISNUMBER(SEARCH("出演",$E33)))),"◆","")</f>
        <v/>
      </c>
      <c r="S33" s="55" t="str">
        <f aca="false">IF(AND(S$7=$I33,OR(ISNUMBER(SEARCH("採用",$E33)),ISNUMBER(SEARCH("総務",$E33)),ISNUMBER(SEARCH("工場長",$E33)),ISNUMBER(SEARCH("社長",$E33)),ISNUMBER(SEARCH("出演",$E33)))),"◆","")</f>
        <v/>
      </c>
      <c r="T33" s="55" t="str">
        <f aca="false">IF(AND(T$7=$I33,OR(ISNUMBER(SEARCH("採用",$E33)),ISNUMBER(SEARCH("総務",$E33)),ISNUMBER(SEARCH("工場長",$E33)),ISNUMBER(SEARCH("社長",$E33)),ISNUMBER(SEARCH("出演",$E33)))),"◆","")</f>
        <v/>
      </c>
      <c r="U33" s="55" t="str">
        <f aca="false">IF(AND(U$7=$I33,OR(ISNUMBER(SEARCH("採用",$E33)),ISNUMBER(SEARCH("総務",$E33)),ISNUMBER(SEARCH("工場長",$E33)),ISNUMBER(SEARCH("社長",$E33)),ISNUMBER(SEARCH("出演",$E33)))),"◆","")</f>
        <v/>
      </c>
      <c r="V33" s="55" t="str">
        <f aca="false">IF(AND(V$7=$I33,OR(ISNUMBER(SEARCH("採用",$E33)),ISNUMBER(SEARCH("総務",$E33)),ISNUMBER(SEARCH("工場長",$E33)),ISNUMBER(SEARCH("社長",$E33)),ISNUMBER(SEARCH("出演",$E33)))),"◆","")</f>
        <v/>
      </c>
      <c r="W33" s="55" t="str">
        <f aca="false">IF(AND(W$7=$I33,OR(ISNUMBER(SEARCH("採用",$E33)),ISNUMBER(SEARCH("総務",$E33)),ISNUMBER(SEARCH("工場長",$E33)),ISNUMBER(SEARCH("社長",$E33)),ISNUMBER(SEARCH("出演",$E33)))),"◆","")</f>
        <v/>
      </c>
      <c r="X33" s="55" t="str">
        <f aca="false">IF(AND(X$7=$I33,OR(ISNUMBER(SEARCH("採用",$E33)),ISNUMBER(SEARCH("総務",$E33)),ISNUMBER(SEARCH("工場長",$E33)),ISNUMBER(SEARCH("社長",$E33)),ISNUMBER(SEARCH("出演",$E33)))),"◆","")</f>
        <v/>
      </c>
      <c r="Y33" s="55" t="str">
        <f aca="false">IF(AND(Y$7=$I33,OR(ISNUMBER(SEARCH("採用",$E33)),ISNUMBER(SEARCH("総務",$E33)),ISNUMBER(SEARCH("工場長",$E33)),ISNUMBER(SEARCH("社長",$E33)),ISNUMBER(SEARCH("出演",$E33)))),"◆","")</f>
        <v/>
      </c>
      <c r="Z33" s="55" t="str">
        <f aca="false">IF(AND(Z$7=$I33,OR(ISNUMBER(SEARCH("採用",$E33)),ISNUMBER(SEARCH("総務",$E33)),ISNUMBER(SEARCH("工場長",$E33)),ISNUMBER(SEARCH("社長",$E33)),ISNUMBER(SEARCH("出演",$E33)))),"◆","")</f>
        <v/>
      </c>
      <c r="AA33" s="55" t="str">
        <f aca="false">IF(AND(AA$7=$I33,OR(ISNUMBER(SEARCH("採用",$E33)),ISNUMBER(SEARCH("総務",$E33)),ISNUMBER(SEARCH("工場長",$E33)),ISNUMBER(SEARCH("社長",$E33)),ISNUMBER(SEARCH("出演",$E33)))),"◆","")</f>
        <v/>
      </c>
      <c r="AB33" s="55" t="str">
        <f aca="false">IF(AND(AB$7=$I33,OR(ISNUMBER(SEARCH("採用",$E33)),ISNUMBER(SEARCH("総務",$E33)),ISNUMBER(SEARCH("工場長",$E33)),ISNUMBER(SEARCH("社長",$E33)),ISNUMBER(SEARCH("出演",$E33)))),"◆","")</f>
        <v/>
      </c>
      <c r="AC33" s="55" t="str">
        <f aca="false">IF(AND(AC$7=$I33,OR(ISNUMBER(SEARCH("採用",$E33)),ISNUMBER(SEARCH("総務",$E33)),ISNUMBER(SEARCH("工場長",$E33)),ISNUMBER(SEARCH("社長",$E33)),ISNUMBER(SEARCH("出演",$E33)))),"◆","")</f>
        <v/>
      </c>
      <c r="AD33" s="55" t="str">
        <f aca="false">IF(AND(AD$7=$I33,OR(ISNUMBER(SEARCH("採用",$E33)),ISNUMBER(SEARCH("総務",$E33)),ISNUMBER(SEARCH("工場長",$E33)),ISNUMBER(SEARCH("社長",$E33)),ISNUMBER(SEARCH("出演",$E33)))),"◆","")</f>
        <v/>
      </c>
      <c r="AE33" s="55" t="str">
        <f aca="false">IF(AND(AE$7=$I33,OR(ISNUMBER(SEARCH("採用",$E33)),ISNUMBER(SEARCH("総務",$E33)),ISNUMBER(SEARCH("工場長",$E33)),ISNUMBER(SEARCH("社長",$E33)),ISNUMBER(SEARCH("出演",$E33)))),"◆","")</f>
        <v/>
      </c>
      <c r="AF33" s="55" t="str">
        <f aca="false">IF(AND(AF$7=$I33,OR(ISNUMBER(SEARCH("採用",$E33)),ISNUMBER(SEARCH("総務",$E33)),ISNUMBER(SEARCH("工場長",$E33)),ISNUMBER(SEARCH("社長",$E33)),ISNUMBER(SEARCH("出演",$E33)))),"◆","")</f>
        <v/>
      </c>
      <c r="AG33" s="55" t="str">
        <f aca="false">IF(AND(AG$7=$I33,OR(ISNUMBER(SEARCH("採用",$E33)),ISNUMBER(SEARCH("総務",$E33)),ISNUMBER(SEARCH("工場長",$E33)),ISNUMBER(SEARCH("社長",$E33)),ISNUMBER(SEARCH("出演",$E33)))),"◆","")</f>
        <v/>
      </c>
      <c r="AH33" s="55" t="str">
        <f aca="false">IF(AND(AH$7=$I33,OR(ISNUMBER(SEARCH("採用",$E33)),ISNUMBER(SEARCH("総務",$E33)),ISNUMBER(SEARCH("工場長",$E33)),ISNUMBER(SEARCH("社長",$E33)),ISNUMBER(SEARCH("出演",$E33)))),"◆","")</f>
        <v/>
      </c>
      <c r="AI33" s="55" t="str">
        <f aca="false">IF(AND(AI$7=$I33,OR(ISNUMBER(SEARCH("採用",$E33)),ISNUMBER(SEARCH("総務",$E33)),ISNUMBER(SEARCH("工場長",$E33)),ISNUMBER(SEARCH("社長",$E33)),ISNUMBER(SEARCH("出演",$E33)))),"◆","")</f>
        <v/>
      </c>
      <c r="AJ33" s="55" t="str">
        <f aca="false">IF(AND(AJ$7=$I33,OR(ISNUMBER(SEARCH("採用",$E33)),ISNUMBER(SEARCH("総務",$E33)),ISNUMBER(SEARCH("工場長",$E33)),ISNUMBER(SEARCH("社長",$E33)),ISNUMBER(SEARCH("出演",$E33)))),"◆","")</f>
        <v/>
      </c>
      <c r="AK33" s="55" t="str">
        <f aca="false">IF(AND(AK$7=$I33,OR(ISNUMBER(SEARCH("採用",$E33)),ISNUMBER(SEARCH("総務",$E33)),ISNUMBER(SEARCH("工場長",$E33)),ISNUMBER(SEARCH("社長",$E33)),ISNUMBER(SEARCH("出演",$E33)))),"◆","")</f>
        <v/>
      </c>
      <c r="AL33" s="55" t="str">
        <f aca="false">IF(AND(AL$7=$I33,OR(ISNUMBER(SEARCH("採用",$E33)),ISNUMBER(SEARCH("総務",$E33)),ISNUMBER(SEARCH("工場長",$E33)),ISNUMBER(SEARCH("社長",$E33)),ISNUMBER(SEARCH("出演",$E33)))),"◆","")</f>
        <v/>
      </c>
      <c r="AM33" s="55" t="str">
        <f aca="false">IF(AND(AM$7=$I33,OR(ISNUMBER(SEARCH("採用",$E33)),ISNUMBER(SEARCH("総務",$E33)),ISNUMBER(SEARCH("工場長",$E33)),ISNUMBER(SEARCH("社長",$E33)),ISNUMBER(SEARCH("出演",$E33)))),"◆","")</f>
        <v/>
      </c>
      <c r="AN33" s="55" t="str">
        <f aca="false">IF(AND(AN$7=$I33,OR(ISNUMBER(SEARCH("採用",$E33)),ISNUMBER(SEARCH("総務",$E33)),ISNUMBER(SEARCH("工場長",$E33)),ISNUMBER(SEARCH("社長",$E33)),ISNUMBER(SEARCH("出演",$E33)))),"◆","")</f>
        <v/>
      </c>
      <c r="AO33" s="55" t="str">
        <f aca="false">IF(AND(AO$7=$I33,OR(ISNUMBER(SEARCH("採用",$E33)),ISNUMBER(SEARCH("総務",$E33)),ISNUMBER(SEARCH("工場長",$E33)),ISNUMBER(SEARCH("社長",$E33)),ISNUMBER(SEARCH("出演",$E33)))),"◆","")</f>
        <v/>
      </c>
      <c r="AP33" s="55" t="str">
        <f aca="false">IF(AND(AP$7=$I33,OR(ISNUMBER(SEARCH("採用",$E33)),ISNUMBER(SEARCH("総務",$E33)),ISNUMBER(SEARCH("工場長",$E33)),ISNUMBER(SEARCH("社長",$E33)),ISNUMBER(SEARCH("出演",$E33)))),"◆","")</f>
        <v/>
      </c>
      <c r="AQ33" s="55" t="str">
        <f aca="false">IF(AND(AQ$7=$I33,OR(ISNUMBER(SEARCH("採用",$E33)),ISNUMBER(SEARCH("総務",$E33)),ISNUMBER(SEARCH("工場長",$E33)),ISNUMBER(SEARCH("社長",$E33)),ISNUMBER(SEARCH("出演",$E33)))),"◆","")</f>
        <v/>
      </c>
      <c r="AR33" s="55" t="str">
        <f aca="false">IF(AND(AR$7=$I33,OR(ISNUMBER(SEARCH("採用",$E33)),ISNUMBER(SEARCH("総務",$E33)),ISNUMBER(SEARCH("工場長",$E33)),ISNUMBER(SEARCH("社長",$E33)),ISNUMBER(SEARCH("出演",$E33)))),"◆","")</f>
        <v/>
      </c>
      <c r="AS33" s="55" t="str">
        <f aca="false">IF(AND(AS$7=$I33,OR(ISNUMBER(SEARCH("採用",$E33)),ISNUMBER(SEARCH("総務",$E33)),ISNUMBER(SEARCH("工場長",$E33)),ISNUMBER(SEARCH("社長",$E33)),ISNUMBER(SEARCH("出演",$E33)))),"◆","")</f>
        <v/>
      </c>
      <c r="AT33" s="55" t="str">
        <f aca="false">IF(AND(AT$7=$I33,OR(ISNUMBER(SEARCH("採用",$E33)),ISNUMBER(SEARCH("総務",$E33)),ISNUMBER(SEARCH("工場長",$E33)),ISNUMBER(SEARCH("社長",$E33)),ISNUMBER(SEARCH("出演",$E33)))),"◆","")</f>
        <v/>
      </c>
      <c r="AU33" s="55" t="str">
        <f aca="false">IF(AND(AU$7=$I33,OR(ISNUMBER(SEARCH("採用",$E33)),ISNUMBER(SEARCH("総務",$E33)),ISNUMBER(SEARCH("工場長",$E33)),ISNUMBER(SEARCH("社長",$E33)),ISNUMBER(SEARCH("出演",$E33)))),"◆","")</f>
        <v/>
      </c>
      <c r="AV33" s="55" t="str">
        <f aca="false">IF(AND(AV$7=$I33,OR(ISNUMBER(SEARCH("採用",$E33)),ISNUMBER(SEARCH("総務",$E33)),ISNUMBER(SEARCH("工場長",$E33)),ISNUMBER(SEARCH("社長",$E33)),ISNUMBER(SEARCH("出演",$E33)))),"◆","")</f>
        <v/>
      </c>
      <c r="AW33" s="55" t="str">
        <f aca="false">IF(AND(AW$7=$I33,OR(ISNUMBER(SEARCH("採用",$E33)),ISNUMBER(SEARCH("総務",$E33)),ISNUMBER(SEARCH("工場長",$E33)),ISNUMBER(SEARCH("社長",$E33)),ISNUMBER(SEARCH("出演",$E33)))),"◆","")</f>
        <v/>
      </c>
      <c r="AX33" s="55" t="str">
        <f aca="false">IF(AND(AX$7=$I33,OR(ISNUMBER(SEARCH("採用",$E33)),ISNUMBER(SEARCH("総務",$E33)),ISNUMBER(SEARCH("工場長",$E33)),ISNUMBER(SEARCH("社長",$E33)),ISNUMBER(SEARCH("出演",$E33)))),"◆","")</f>
        <v/>
      </c>
      <c r="AY33" s="55" t="str">
        <f aca="false">IF(AND(AY$7=$I33,OR(ISNUMBER(SEARCH("採用",$E33)),ISNUMBER(SEARCH("総務",$E33)),ISNUMBER(SEARCH("工場長",$E33)),ISNUMBER(SEARCH("社長",$E33)),ISNUMBER(SEARCH("出演",$E33)))),"◆","")</f>
        <v/>
      </c>
      <c r="AZ33" s="55" t="str">
        <f aca="false">IF(AND(AZ$7=$I33,OR(ISNUMBER(SEARCH("採用",$E33)),ISNUMBER(SEARCH("総務",$E33)),ISNUMBER(SEARCH("工場長",$E33)),ISNUMBER(SEARCH("社長",$E33)),ISNUMBER(SEARCH("出演",$E33)))),"◆","")</f>
        <v/>
      </c>
      <c r="BA33" s="55" t="str">
        <f aca="false">IF(AND(BA$7=$I33,OR(ISNUMBER(SEARCH("採用",$E33)),ISNUMBER(SEARCH("総務",$E33)),ISNUMBER(SEARCH("工場長",$E33)),ISNUMBER(SEARCH("社長",$E33)),ISNUMBER(SEARCH("出演",$E33)))),"◆","")</f>
        <v/>
      </c>
      <c r="BB33" s="55" t="str">
        <f aca="false">IF(AND(BB$7=$I33,OR(ISNUMBER(SEARCH("採用",$E33)),ISNUMBER(SEARCH("総務",$E33)),ISNUMBER(SEARCH("工場長",$E33)),ISNUMBER(SEARCH("社長",$E33)),ISNUMBER(SEARCH("出演",$E33)))),"◆","")</f>
        <v/>
      </c>
      <c r="BC33" s="55" t="str">
        <f aca="false">IF(AND(BC$7=$I33,OR(ISNUMBER(SEARCH("採用",$E33)),ISNUMBER(SEARCH("総務",$E33)),ISNUMBER(SEARCH("工場長",$E33)),ISNUMBER(SEARCH("社長",$E33)),ISNUMBER(SEARCH("出演",$E33)))),"◆","")</f>
        <v/>
      </c>
      <c r="BD33" s="55" t="str">
        <f aca="false">IF(AND(BD$7=$I33,OR(ISNUMBER(SEARCH("採用",$E33)),ISNUMBER(SEARCH("総務",$E33)),ISNUMBER(SEARCH("工場長",$E33)),ISNUMBER(SEARCH("社長",$E33)),ISNUMBER(SEARCH("出演",$E33)))),"◆","")</f>
        <v/>
      </c>
      <c r="BE33" s="55" t="str">
        <f aca="false">IF(AND(BE$7=$I33,OR(ISNUMBER(SEARCH("採用",$E33)),ISNUMBER(SEARCH("総務",$E33)),ISNUMBER(SEARCH("工場長",$E33)),ISNUMBER(SEARCH("社長",$E33)),ISNUMBER(SEARCH("出演",$E33)))),"◆","")</f>
        <v/>
      </c>
      <c r="BF33" s="55" t="str">
        <f aca="false">IF(AND(BF$7=$I33,OR(ISNUMBER(SEARCH("採用",$E33)),ISNUMBER(SEARCH("総務",$E33)),ISNUMBER(SEARCH("工場長",$E33)),ISNUMBER(SEARCH("社長",$E33)),ISNUMBER(SEARCH("出演",$E33)))),"◆","")</f>
        <v/>
      </c>
      <c r="BG33" s="55" t="str">
        <f aca="false">IF(AND(BG$7=$I33,OR(ISNUMBER(SEARCH("採用",$E33)),ISNUMBER(SEARCH("総務",$E33)),ISNUMBER(SEARCH("工場長",$E33)),ISNUMBER(SEARCH("社長",$E33)),ISNUMBER(SEARCH("出演",$E33)))),"◆","")</f>
        <v/>
      </c>
      <c r="BH33" s="55" t="str">
        <f aca="false">IF(AND(BH$7=$I33,OR(ISNUMBER(SEARCH("採用",$E33)),ISNUMBER(SEARCH("総務",$E33)),ISNUMBER(SEARCH("工場長",$E33)),ISNUMBER(SEARCH("社長",$E33)),ISNUMBER(SEARCH("出演",$E33)))),"◆","")</f>
        <v/>
      </c>
      <c r="BI33" s="55" t="str">
        <f aca="false">IF(AND(BI$7=$I33,OR(ISNUMBER(SEARCH("採用",$E33)),ISNUMBER(SEARCH("総務",$E33)),ISNUMBER(SEARCH("工場長",$E33)),ISNUMBER(SEARCH("社長",$E33)),ISNUMBER(SEARCH("出演",$E33)))),"◆","")</f>
        <v/>
      </c>
      <c r="BJ33" s="55" t="str">
        <f aca="false">IF(AND(BJ$7=$I33,OR(ISNUMBER(SEARCH("採用",$E33)),ISNUMBER(SEARCH("総務",$E33)),ISNUMBER(SEARCH("工場長",$E33)),ISNUMBER(SEARCH("社長",$E33)),ISNUMBER(SEARCH("出演",$E33)))),"◆","")</f>
        <v/>
      </c>
      <c r="BK33" s="55" t="str">
        <f aca="false">IF(AND(BK$7=$I33,OR(ISNUMBER(SEARCH("採用",$E33)),ISNUMBER(SEARCH("総務",$E33)),ISNUMBER(SEARCH("工場長",$E33)),ISNUMBER(SEARCH("社長",$E33)),ISNUMBER(SEARCH("出演",$E33)))),"◆","")</f>
        <v/>
      </c>
      <c r="BL33" s="55" t="str">
        <f aca="false">IF(AND(BL$7=$I33,OR(ISNUMBER(SEARCH("採用",$E33)),ISNUMBER(SEARCH("総務",$E33)),ISNUMBER(SEARCH("工場長",$E33)),ISNUMBER(SEARCH("社長",$E33)),ISNUMBER(SEARCH("出演",$E33)))),"◆","")</f>
        <v/>
      </c>
      <c r="BM33" s="55" t="str">
        <f aca="false">IF(AND(BM$7=$I33,OR(ISNUMBER(SEARCH("採用",$E33)),ISNUMBER(SEARCH("総務",$E33)),ISNUMBER(SEARCH("工場長",$E33)),ISNUMBER(SEARCH("社長",$E33)),ISNUMBER(SEARCH("出演",$E33)))),"◆","")</f>
        <v/>
      </c>
      <c r="BN33" s="55" t="str">
        <f aca="false">IF(AND(BN$7=$I33,OR(ISNUMBER(SEARCH("採用",$E33)),ISNUMBER(SEARCH("総務",$E33)),ISNUMBER(SEARCH("工場長",$E33)),ISNUMBER(SEARCH("社長",$E33)),ISNUMBER(SEARCH("出演",$E33)))),"◆","")</f>
        <v/>
      </c>
      <c r="BO33" s="55" t="str">
        <f aca="false">IF(AND(BO$7=$I33,OR(ISNUMBER(SEARCH("採用",$E33)),ISNUMBER(SEARCH("総務",$E33)),ISNUMBER(SEARCH("工場長",$E33)),ISNUMBER(SEARCH("社長",$E33)),ISNUMBER(SEARCH("出演",$E33)))),"◆","")</f>
        <v/>
      </c>
      <c r="BP33" s="55" t="str">
        <f aca="false">IF(AND(BP$7=$I33,OR(ISNUMBER(SEARCH("採用",$E33)),ISNUMBER(SEARCH("総務",$E33)),ISNUMBER(SEARCH("工場長",$E33)),ISNUMBER(SEARCH("社長",$E33)),ISNUMBER(SEARCH("出演",$E33)))),"◆","")</f>
        <v/>
      </c>
      <c r="BQ33" s="55" t="str">
        <f aca="false">IF(AND(BQ$7=$I33,OR(ISNUMBER(SEARCH("採用",$E33)),ISNUMBER(SEARCH("総務",$E33)),ISNUMBER(SEARCH("工場長",$E33)),ISNUMBER(SEARCH("社長",$E33)),ISNUMBER(SEARCH("出演",$E33)))),"◆","")</f>
        <v/>
      </c>
      <c r="BR33" s="55" t="str">
        <f aca="false">IF(AND(BR$7=$I33,OR(ISNUMBER(SEARCH("採用",$E33)),ISNUMBER(SEARCH("総務",$E33)),ISNUMBER(SEARCH("工場長",$E33)),ISNUMBER(SEARCH("社長",$E33)),ISNUMBER(SEARCH("出演",$E33)))),"◆","")</f>
        <v/>
      </c>
      <c r="BS33" s="55" t="str">
        <f aca="false">IF(AND(BS$7=$I33,OR(ISNUMBER(SEARCH("採用",$E33)),ISNUMBER(SEARCH("総務",$E33)),ISNUMBER(SEARCH("工場長",$E33)),ISNUMBER(SEARCH("社長",$E33)),ISNUMBER(SEARCH("出演",$E33)))),"◆","")</f>
        <v/>
      </c>
      <c r="BT33" s="55" t="str">
        <f aca="false">IF(AND(BT$7=$I33,OR(ISNUMBER(SEARCH("採用",$E33)),ISNUMBER(SEARCH("総務",$E33)),ISNUMBER(SEARCH("工場長",$E33)),ISNUMBER(SEARCH("社長",$E33)),ISNUMBER(SEARCH("出演",$E33)))),"◆","")</f>
        <v/>
      </c>
      <c r="BU33" s="55" t="str">
        <f aca="false">IF(AND(BU$7=$I33,OR(ISNUMBER(SEARCH("採用",$E33)),ISNUMBER(SEARCH("総務",$E33)),ISNUMBER(SEARCH("工場長",$E33)),ISNUMBER(SEARCH("社長",$E33)),ISNUMBER(SEARCH("出演",$E33)))),"◆","")</f>
        <v/>
      </c>
      <c r="BV33" s="55" t="str">
        <f aca="false">IF(AND(BV$7=$I33,OR(ISNUMBER(SEARCH("採用",$E33)),ISNUMBER(SEARCH("総務",$E33)),ISNUMBER(SEARCH("工場長",$E33)),ISNUMBER(SEARCH("社長",$E33)),ISNUMBER(SEARCH("出演",$E33)))),"◆","")</f>
        <v/>
      </c>
      <c r="BW33" s="55" t="str">
        <f aca="false">IF(AND(BW$7=$I33,OR(ISNUMBER(SEARCH("採用",$E33)),ISNUMBER(SEARCH("総務",$E33)),ISNUMBER(SEARCH("工場長",$E33)),ISNUMBER(SEARCH("社長",$E33)),ISNUMBER(SEARCH("出演",$E33)))),"◆","")</f>
        <v/>
      </c>
      <c r="BX33" s="55" t="str">
        <f aca="false">IF(AND(BX$7=$I33,OR(ISNUMBER(SEARCH("採用",$E33)),ISNUMBER(SEARCH("総務",$E33)),ISNUMBER(SEARCH("工場長",$E33)),ISNUMBER(SEARCH("社長",$E33)),ISNUMBER(SEARCH("出演",$E33)))),"◆","")</f>
        <v/>
      </c>
      <c r="BY33" s="55" t="str">
        <f aca="false">IF(AND(BY$7=$I33,OR(ISNUMBER(SEARCH("採用",$E33)),ISNUMBER(SEARCH("総務",$E33)),ISNUMBER(SEARCH("工場長",$E33)),ISNUMBER(SEARCH("社長",$E33)),ISNUMBER(SEARCH("出演",$E33)))),"◆","")</f>
        <v/>
      </c>
      <c r="BZ33" s="55" t="str">
        <f aca="false">IF(AND(BZ$7=$I33,OR(ISNUMBER(SEARCH("採用",$E33)),ISNUMBER(SEARCH("総務",$E33)),ISNUMBER(SEARCH("工場長",$E33)),ISNUMBER(SEARCH("社長",$E33)),ISNUMBER(SEARCH("出演",$E33)))),"◆","")</f>
        <v/>
      </c>
      <c r="CA33" s="55" t="str">
        <f aca="false">IF(AND(CA$7=$I33,OR(ISNUMBER(SEARCH("採用",$E33)),ISNUMBER(SEARCH("総務",$E33)),ISNUMBER(SEARCH("工場長",$E33)),ISNUMBER(SEARCH("社長",$E33)),ISNUMBER(SEARCH("出演",$E33)))),"◆","")</f>
        <v/>
      </c>
      <c r="CB33" s="55" t="str">
        <f aca="false">IF(AND(CB$7=$I33,OR(ISNUMBER(SEARCH("採用",$E33)),ISNUMBER(SEARCH("総務",$E33)),ISNUMBER(SEARCH("工場長",$E33)),ISNUMBER(SEARCH("社長",$E33)),ISNUMBER(SEARCH("出演",$E33)))),"◆","")</f>
        <v/>
      </c>
      <c r="CC33" s="55" t="str">
        <f aca="false">IF(AND(CC$7=$I33,OR(ISNUMBER(SEARCH("採用",$E33)),ISNUMBER(SEARCH("総務",$E33)),ISNUMBER(SEARCH("工場長",$E33)),ISNUMBER(SEARCH("社長",$E33)),ISNUMBER(SEARCH("出演",$E33)))),"◆","")</f>
        <v/>
      </c>
      <c r="CD33" s="55" t="str">
        <f aca="false">IF(AND(CD$7=$I33,OR(ISNUMBER(SEARCH("採用",$E33)),ISNUMBER(SEARCH("総務",$E33)),ISNUMBER(SEARCH("工場長",$E33)),ISNUMBER(SEARCH("社長",$E33)),ISNUMBER(SEARCH("出演",$E33)))),"◆","")</f>
        <v/>
      </c>
      <c r="CE33" s="55" t="str">
        <f aca="false">IF(AND(CE$7=$I33,OR(ISNUMBER(SEARCH("採用",$E33)),ISNUMBER(SEARCH("総務",$E33)),ISNUMBER(SEARCH("工場長",$E33)),ISNUMBER(SEARCH("社長",$E33)),ISNUMBER(SEARCH("出演",$E33)))),"◆","")</f>
        <v/>
      </c>
      <c r="CF33" s="55" t="str">
        <f aca="false">IF(AND(CF$7=$I33,OR(ISNUMBER(SEARCH("採用",$E33)),ISNUMBER(SEARCH("総務",$E33)),ISNUMBER(SEARCH("工場長",$E33)),ISNUMBER(SEARCH("社長",$E33)),ISNUMBER(SEARCH("出演",$E33)))),"◆","")</f>
        <v/>
      </c>
      <c r="CG33" s="55" t="str">
        <f aca="false">IF(AND(CG$7=$I33,OR(ISNUMBER(SEARCH("採用",$E33)),ISNUMBER(SEARCH("総務",$E33)),ISNUMBER(SEARCH("工場長",$E33)),ISNUMBER(SEARCH("社長",$E33)),ISNUMBER(SEARCH("出演",$E33)))),"◆","")</f>
        <v/>
      </c>
      <c r="CH33" s="55" t="str">
        <f aca="false">IF(AND(CH$7=$I33,OR(ISNUMBER(SEARCH("採用",$E33)),ISNUMBER(SEARCH("総務",$E33)),ISNUMBER(SEARCH("工場長",$E33)),ISNUMBER(SEARCH("社長",$E33)),ISNUMBER(SEARCH("出演",$E33)))),"◆","")</f>
        <v/>
      </c>
      <c r="CI33" s="55" t="str">
        <f aca="false">IF(AND(CI$7=$I33,OR(ISNUMBER(SEARCH("採用",$E33)),ISNUMBER(SEARCH("総務",$E33)),ISNUMBER(SEARCH("工場長",$E33)),ISNUMBER(SEARCH("社長",$E33)),ISNUMBER(SEARCH("出演",$E33)))),"◆","")</f>
        <v/>
      </c>
      <c r="CJ33" s="55" t="str">
        <f aca="false">IF(AND(CJ$7=$I33,OR(ISNUMBER(SEARCH("採用",$E33)),ISNUMBER(SEARCH("総務",$E33)),ISNUMBER(SEARCH("工場長",$E33)),ISNUMBER(SEARCH("社長",$E33)),ISNUMBER(SEARCH("出演",$E33)))),"◆","")</f>
        <v/>
      </c>
      <c r="CK33" s="55" t="str">
        <f aca="false">IF(AND(CK$7=$I33,OR(ISNUMBER(SEARCH("採用",$E33)),ISNUMBER(SEARCH("総務",$E33)),ISNUMBER(SEARCH("工場長",$E33)),ISNUMBER(SEARCH("社長",$E33)),ISNUMBER(SEARCH("出演",$E33)))),"◆","")</f>
        <v/>
      </c>
      <c r="CL33" s="55" t="str">
        <f aca="false">IF(AND(CL$7=$I33,OR(ISNUMBER(SEARCH("採用",$E33)),ISNUMBER(SEARCH("総務",$E33)),ISNUMBER(SEARCH("工場長",$E33)),ISNUMBER(SEARCH("社長",$E33)),ISNUMBER(SEARCH("出演",$E33)))),"◆","")</f>
        <v/>
      </c>
      <c r="CM33" s="55" t="str">
        <f aca="false">IF(AND(CM$7=$I33,OR(ISNUMBER(SEARCH("採用",$E33)),ISNUMBER(SEARCH("総務",$E33)),ISNUMBER(SEARCH("工場長",$E33)),ISNUMBER(SEARCH("社長",$E33)),ISNUMBER(SEARCH("出演",$E33)))),"◆","")</f>
        <v/>
      </c>
      <c r="CN33" s="55" t="str">
        <f aca="false">IF(AND(CN$7=$I33,OR(ISNUMBER(SEARCH("採用",$E33)),ISNUMBER(SEARCH("総務",$E33)),ISNUMBER(SEARCH("工場長",$E33)),ISNUMBER(SEARCH("社長",$E33)),ISNUMBER(SEARCH("出演",$E33)))),"◆","")</f>
        <v/>
      </c>
      <c r="CO33" s="55" t="str">
        <f aca="false">IF(AND(CO$7=$I33,OR(ISNUMBER(SEARCH("採用",$E33)),ISNUMBER(SEARCH("総務",$E33)),ISNUMBER(SEARCH("工場長",$E33)),ISNUMBER(SEARCH("社長",$E33)),ISNUMBER(SEARCH("出演",$E33)))),"◆","")</f>
        <v/>
      </c>
      <c r="CP33" s="55" t="str">
        <f aca="false">IF(AND(CP$7=$I33,OR(ISNUMBER(SEARCH("採用",$E33)),ISNUMBER(SEARCH("総務",$E33)),ISNUMBER(SEARCH("工場長",$E33)),ISNUMBER(SEARCH("社長",$E33)),ISNUMBER(SEARCH("出演",$E33)))),"◆","")</f>
        <v/>
      </c>
    </row>
    <row r="34" customFormat="false" ht="25.5" hidden="false" customHeight="true" outlineLevel="0" collapsed="false">
      <c r="A34" s="48" t="str">
        <f aca="false">制作工程表!A27</f>
        <v>T19</v>
      </c>
      <c r="B34" s="49" t="str">
        <f aca="false">制作工程表!B27</f>
        <v>公開前確認</v>
      </c>
      <c r="C34" s="50" t="str">
        <f aca="false">制作工程表!C27</f>
        <v>公開前の最終確認・公開承認</v>
      </c>
      <c r="D34" s="51" t="str">
        <f aca="false">制作工程表!D27</f>
        <v>採用担当</v>
      </c>
      <c r="E34" s="51" t="str">
        <f aca="false">制作工程表!E27</f>
        <v>社長・出演者</v>
      </c>
      <c r="F34" s="52" t="str">
        <f aca="false">IF(制作工程表!B27="取材撮影","撮影",IF(OR(制作工程表!D27="採用担当",制作工程表!D27="総務窓口",制作工程表!D27="工場長"),"企業","制作"))</f>
        <v>企業</v>
      </c>
      <c r="G34" s="53" t="n">
        <f aca="false">制作工程表!G27</f>
        <v>46370</v>
      </c>
      <c r="H34" s="53" t="n">
        <f aca="false">制作工程表!H27</f>
        <v>46374</v>
      </c>
      <c r="I34" s="54" t="n">
        <f aca="false">制作工程表!I27</f>
        <v>46374</v>
      </c>
      <c r="J34" s="49" t="str">
        <f aca="false">制作工程表!K27</f>
        <v>未着手</v>
      </c>
      <c r="K34" s="55" t="str">
        <f aca="false">IF(AND(K$7=$I34,OR(ISNUMBER(SEARCH("採用",$E34)),ISNUMBER(SEARCH("総務",$E34)),ISNUMBER(SEARCH("工場長",$E34)),ISNUMBER(SEARCH("社長",$E34)),ISNUMBER(SEARCH("出演",$E34)))),"◆","")</f>
        <v/>
      </c>
      <c r="L34" s="55" t="str">
        <f aca="false">IF(AND(L$7=$I34,OR(ISNUMBER(SEARCH("採用",$E34)),ISNUMBER(SEARCH("総務",$E34)),ISNUMBER(SEARCH("工場長",$E34)),ISNUMBER(SEARCH("社長",$E34)),ISNUMBER(SEARCH("出演",$E34)))),"◆","")</f>
        <v/>
      </c>
      <c r="M34" s="55" t="str">
        <f aca="false">IF(AND(M$7=$I34,OR(ISNUMBER(SEARCH("採用",$E34)),ISNUMBER(SEARCH("総務",$E34)),ISNUMBER(SEARCH("工場長",$E34)),ISNUMBER(SEARCH("社長",$E34)),ISNUMBER(SEARCH("出演",$E34)))),"◆","")</f>
        <v/>
      </c>
      <c r="N34" s="55" t="str">
        <f aca="false">IF(AND(N$7=$I34,OR(ISNUMBER(SEARCH("採用",$E34)),ISNUMBER(SEARCH("総務",$E34)),ISNUMBER(SEARCH("工場長",$E34)),ISNUMBER(SEARCH("社長",$E34)),ISNUMBER(SEARCH("出演",$E34)))),"◆","")</f>
        <v/>
      </c>
      <c r="O34" s="55" t="str">
        <f aca="false">IF(AND(O$7=$I34,OR(ISNUMBER(SEARCH("採用",$E34)),ISNUMBER(SEARCH("総務",$E34)),ISNUMBER(SEARCH("工場長",$E34)),ISNUMBER(SEARCH("社長",$E34)),ISNUMBER(SEARCH("出演",$E34)))),"◆","")</f>
        <v/>
      </c>
      <c r="P34" s="55" t="str">
        <f aca="false">IF(AND(P$7=$I34,OR(ISNUMBER(SEARCH("採用",$E34)),ISNUMBER(SEARCH("総務",$E34)),ISNUMBER(SEARCH("工場長",$E34)),ISNUMBER(SEARCH("社長",$E34)),ISNUMBER(SEARCH("出演",$E34)))),"◆","")</f>
        <v/>
      </c>
      <c r="Q34" s="55" t="str">
        <f aca="false">IF(AND(Q$7=$I34,OR(ISNUMBER(SEARCH("採用",$E34)),ISNUMBER(SEARCH("総務",$E34)),ISNUMBER(SEARCH("工場長",$E34)),ISNUMBER(SEARCH("社長",$E34)),ISNUMBER(SEARCH("出演",$E34)))),"◆","")</f>
        <v/>
      </c>
      <c r="R34" s="55" t="str">
        <f aca="false">IF(AND(R$7=$I34,OR(ISNUMBER(SEARCH("採用",$E34)),ISNUMBER(SEARCH("総務",$E34)),ISNUMBER(SEARCH("工場長",$E34)),ISNUMBER(SEARCH("社長",$E34)),ISNUMBER(SEARCH("出演",$E34)))),"◆","")</f>
        <v/>
      </c>
      <c r="S34" s="55" t="str">
        <f aca="false">IF(AND(S$7=$I34,OR(ISNUMBER(SEARCH("採用",$E34)),ISNUMBER(SEARCH("総務",$E34)),ISNUMBER(SEARCH("工場長",$E34)),ISNUMBER(SEARCH("社長",$E34)),ISNUMBER(SEARCH("出演",$E34)))),"◆","")</f>
        <v/>
      </c>
      <c r="T34" s="55" t="str">
        <f aca="false">IF(AND(T$7=$I34,OR(ISNUMBER(SEARCH("採用",$E34)),ISNUMBER(SEARCH("総務",$E34)),ISNUMBER(SEARCH("工場長",$E34)),ISNUMBER(SEARCH("社長",$E34)),ISNUMBER(SEARCH("出演",$E34)))),"◆","")</f>
        <v/>
      </c>
      <c r="U34" s="55" t="str">
        <f aca="false">IF(AND(U$7=$I34,OR(ISNUMBER(SEARCH("採用",$E34)),ISNUMBER(SEARCH("総務",$E34)),ISNUMBER(SEARCH("工場長",$E34)),ISNUMBER(SEARCH("社長",$E34)),ISNUMBER(SEARCH("出演",$E34)))),"◆","")</f>
        <v/>
      </c>
      <c r="V34" s="55" t="str">
        <f aca="false">IF(AND(V$7=$I34,OR(ISNUMBER(SEARCH("採用",$E34)),ISNUMBER(SEARCH("総務",$E34)),ISNUMBER(SEARCH("工場長",$E34)),ISNUMBER(SEARCH("社長",$E34)),ISNUMBER(SEARCH("出演",$E34)))),"◆","")</f>
        <v/>
      </c>
      <c r="W34" s="55" t="str">
        <f aca="false">IF(AND(W$7=$I34,OR(ISNUMBER(SEARCH("採用",$E34)),ISNUMBER(SEARCH("総務",$E34)),ISNUMBER(SEARCH("工場長",$E34)),ISNUMBER(SEARCH("社長",$E34)),ISNUMBER(SEARCH("出演",$E34)))),"◆","")</f>
        <v/>
      </c>
      <c r="X34" s="55" t="str">
        <f aca="false">IF(AND(X$7=$I34,OR(ISNUMBER(SEARCH("採用",$E34)),ISNUMBER(SEARCH("総務",$E34)),ISNUMBER(SEARCH("工場長",$E34)),ISNUMBER(SEARCH("社長",$E34)),ISNUMBER(SEARCH("出演",$E34)))),"◆","")</f>
        <v/>
      </c>
      <c r="Y34" s="55" t="str">
        <f aca="false">IF(AND(Y$7=$I34,OR(ISNUMBER(SEARCH("採用",$E34)),ISNUMBER(SEARCH("総務",$E34)),ISNUMBER(SEARCH("工場長",$E34)),ISNUMBER(SEARCH("社長",$E34)),ISNUMBER(SEARCH("出演",$E34)))),"◆","")</f>
        <v/>
      </c>
      <c r="Z34" s="55" t="str">
        <f aca="false">IF(AND(Z$7=$I34,OR(ISNUMBER(SEARCH("採用",$E34)),ISNUMBER(SEARCH("総務",$E34)),ISNUMBER(SEARCH("工場長",$E34)),ISNUMBER(SEARCH("社長",$E34)),ISNUMBER(SEARCH("出演",$E34)))),"◆","")</f>
        <v/>
      </c>
      <c r="AA34" s="55" t="str">
        <f aca="false">IF(AND(AA$7=$I34,OR(ISNUMBER(SEARCH("採用",$E34)),ISNUMBER(SEARCH("総務",$E34)),ISNUMBER(SEARCH("工場長",$E34)),ISNUMBER(SEARCH("社長",$E34)),ISNUMBER(SEARCH("出演",$E34)))),"◆","")</f>
        <v/>
      </c>
      <c r="AB34" s="55" t="str">
        <f aca="false">IF(AND(AB$7=$I34,OR(ISNUMBER(SEARCH("採用",$E34)),ISNUMBER(SEARCH("総務",$E34)),ISNUMBER(SEARCH("工場長",$E34)),ISNUMBER(SEARCH("社長",$E34)),ISNUMBER(SEARCH("出演",$E34)))),"◆","")</f>
        <v/>
      </c>
      <c r="AC34" s="55" t="str">
        <f aca="false">IF(AND(AC$7=$I34,OR(ISNUMBER(SEARCH("採用",$E34)),ISNUMBER(SEARCH("総務",$E34)),ISNUMBER(SEARCH("工場長",$E34)),ISNUMBER(SEARCH("社長",$E34)),ISNUMBER(SEARCH("出演",$E34)))),"◆","")</f>
        <v/>
      </c>
      <c r="AD34" s="55" t="str">
        <f aca="false">IF(AND(AD$7=$I34,OR(ISNUMBER(SEARCH("採用",$E34)),ISNUMBER(SEARCH("総務",$E34)),ISNUMBER(SEARCH("工場長",$E34)),ISNUMBER(SEARCH("社長",$E34)),ISNUMBER(SEARCH("出演",$E34)))),"◆","")</f>
        <v/>
      </c>
      <c r="AE34" s="55" t="str">
        <f aca="false">IF(AND(AE$7=$I34,OR(ISNUMBER(SEARCH("採用",$E34)),ISNUMBER(SEARCH("総務",$E34)),ISNUMBER(SEARCH("工場長",$E34)),ISNUMBER(SEARCH("社長",$E34)),ISNUMBER(SEARCH("出演",$E34)))),"◆","")</f>
        <v/>
      </c>
      <c r="AF34" s="55" t="str">
        <f aca="false">IF(AND(AF$7=$I34,OR(ISNUMBER(SEARCH("採用",$E34)),ISNUMBER(SEARCH("総務",$E34)),ISNUMBER(SEARCH("工場長",$E34)),ISNUMBER(SEARCH("社長",$E34)),ISNUMBER(SEARCH("出演",$E34)))),"◆","")</f>
        <v/>
      </c>
      <c r="AG34" s="55" t="str">
        <f aca="false">IF(AND(AG$7=$I34,OR(ISNUMBER(SEARCH("採用",$E34)),ISNUMBER(SEARCH("総務",$E34)),ISNUMBER(SEARCH("工場長",$E34)),ISNUMBER(SEARCH("社長",$E34)),ISNUMBER(SEARCH("出演",$E34)))),"◆","")</f>
        <v/>
      </c>
      <c r="AH34" s="55" t="str">
        <f aca="false">IF(AND(AH$7=$I34,OR(ISNUMBER(SEARCH("採用",$E34)),ISNUMBER(SEARCH("総務",$E34)),ISNUMBER(SEARCH("工場長",$E34)),ISNUMBER(SEARCH("社長",$E34)),ISNUMBER(SEARCH("出演",$E34)))),"◆","")</f>
        <v/>
      </c>
      <c r="AI34" s="55" t="str">
        <f aca="false">IF(AND(AI$7=$I34,OR(ISNUMBER(SEARCH("採用",$E34)),ISNUMBER(SEARCH("総務",$E34)),ISNUMBER(SEARCH("工場長",$E34)),ISNUMBER(SEARCH("社長",$E34)),ISNUMBER(SEARCH("出演",$E34)))),"◆","")</f>
        <v/>
      </c>
      <c r="AJ34" s="55" t="str">
        <f aca="false">IF(AND(AJ$7=$I34,OR(ISNUMBER(SEARCH("採用",$E34)),ISNUMBER(SEARCH("総務",$E34)),ISNUMBER(SEARCH("工場長",$E34)),ISNUMBER(SEARCH("社長",$E34)),ISNUMBER(SEARCH("出演",$E34)))),"◆","")</f>
        <v/>
      </c>
      <c r="AK34" s="55" t="str">
        <f aca="false">IF(AND(AK$7=$I34,OR(ISNUMBER(SEARCH("採用",$E34)),ISNUMBER(SEARCH("総務",$E34)),ISNUMBER(SEARCH("工場長",$E34)),ISNUMBER(SEARCH("社長",$E34)),ISNUMBER(SEARCH("出演",$E34)))),"◆","")</f>
        <v/>
      </c>
      <c r="AL34" s="55" t="str">
        <f aca="false">IF(AND(AL$7=$I34,OR(ISNUMBER(SEARCH("採用",$E34)),ISNUMBER(SEARCH("総務",$E34)),ISNUMBER(SEARCH("工場長",$E34)),ISNUMBER(SEARCH("社長",$E34)),ISNUMBER(SEARCH("出演",$E34)))),"◆","")</f>
        <v/>
      </c>
      <c r="AM34" s="55" t="str">
        <f aca="false">IF(AND(AM$7=$I34,OR(ISNUMBER(SEARCH("採用",$E34)),ISNUMBER(SEARCH("総務",$E34)),ISNUMBER(SEARCH("工場長",$E34)),ISNUMBER(SEARCH("社長",$E34)),ISNUMBER(SEARCH("出演",$E34)))),"◆","")</f>
        <v/>
      </c>
      <c r="AN34" s="55" t="str">
        <f aca="false">IF(AND(AN$7=$I34,OR(ISNUMBER(SEARCH("採用",$E34)),ISNUMBER(SEARCH("総務",$E34)),ISNUMBER(SEARCH("工場長",$E34)),ISNUMBER(SEARCH("社長",$E34)),ISNUMBER(SEARCH("出演",$E34)))),"◆","")</f>
        <v/>
      </c>
      <c r="AO34" s="55" t="str">
        <f aca="false">IF(AND(AO$7=$I34,OR(ISNUMBER(SEARCH("採用",$E34)),ISNUMBER(SEARCH("総務",$E34)),ISNUMBER(SEARCH("工場長",$E34)),ISNUMBER(SEARCH("社長",$E34)),ISNUMBER(SEARCH("出演",$E34)))),"◆","")</f>
        <v/>
      </c>
      <c r="AP34" s="55" t="str">
        <f aca="false">IF(AND(AP$7=$I34,OR(ISNUMBER(SEARCH("採用",$E34)),ISNUMBER(SEARCH("総務",$E34)),ISNUMBER(SEARCH("工場長",$E34)),ISNUMBER(SEARCH("社長",$E34)),ISNUMBER(SEARCH("出演",$E34)))),"◆","")</f>
        <v/>
      </c>
      <c r="AQ34" s="55" t="str">
        <f aca="false">IF(AND(AQ$7=$I34,OR(ISNUMBER(SEARCH("採用",$E34)),ISNUMBER(SEARCH("総務",$E34)),ISNUMBER(SEARCH("工場長",$E34)),ISNUMBER(SEARCH("社長",$E34)),ISNUMBER(SEARCH("出演",$E34)))),"◆","")</f>
        <v/>
      </c>
      <c r="AR34" s="55" t="str">
        <f aca="false">IF(AND(AR$7=$I34,OR(ISNUMBER(SEARCH("採用",$E34)),ISNUMBER(SEARCH("総務",$E34)),ISNUMBER(SEARCH("工場長",$E34)),ISNUMBER(SEARCH("社長",$E34)),ISNUMBER(SEARCH("出演",$E34)))),"◆","")</f>
        <v/>
      </c>
      <c r="AS34" s="55" t="str">
        <f aca="false">IF(AND(AS$7=$I34,OR(ISNUMBER(SEARCH("採用",$E34)),ISNUMBER(SEARCH("総務",$E34)),ISNUMBER(SEARCH("工場長",$E34)),ISNUMBER(SEARCH("社長",$E34)),ISNUMBER(SEARCH("出演",$E34)))),"◆","")</f>
        <v/>
      </c>
      <c r="AT34" s="55" t="str">
        <f aca="false">IF(AND(AT$7=$I34,OR(ISNUMBER(SEARCH("採用",$E34)),ISNUMBER(SEARCH("総務",$E34)),ISNUMBER(SEARCH("工場長",$E34)),ISNUMBER(SEARCH("社長",$E34)),ISNUMBER(SEARCH("出演",$E34)))),"◆","")</f>
        <v/>
      </c>
      <c r="AU34" s="55" t="str">
        <f aca="false">IF(AND(AU$7=$I34,OR(ISNUMBER(SEARCH("採用",$E34)),ISNUMBER(SEARCH("総務",$E34)),ISNUMBER(SEARCH("工場長",$E34)),ISNUMBER(SEARCH("社長",$E34)),ISNUMBER(SEARCH("出演",$E34)))),"◆","")</f>
        <v/>
      </c>
      <c r="AV34" s="55" t="str">
        <f aca="false">IF(AND(AV$7=$I34,OR(ISNUMBER(SEARCH("採用",$E34)),ISNUMBER(SEARCH("総務",$E34)),ISNUMBER(SEARCH("工場長",$E34)),ISNUMBER(SEARCH("社長",$E34)),ISNUMBER(SEARCH("出演",$E34)))),"◆","")</f>
        <v/>
      </c>
      <c r="AW34" s="55" t="str">
        <f aca="false">IF(AND(AW$7=$I34,OR(ISNUMBER(SEARCH("採用",$E34)),ISNUMBER(SEARCH("総務",$E34)),ISNUMBER(SEARCH("工場長",$E34)),ISNUMBER(SEARCH("社長",$E34)),ISNUMBER(SEARCH("出演",$E34)))),"◆","")</f>
        <v/>
      </c>
      <c r="AX34" s="55" t="str">
        <f aca="false">IF(AND(AX$7=$I34,OR(ISNUMBER(SEARCH("採用",$E34)),ISNUMBER(SEARCH("総務",$E34)),ISNUMBER(SEARCH("工場長",$E34)),ISNUMBER(SEARCH("社長",$E34)),ISNUMBER(SEARCH("出演",$E34)))),"◆","")</f>
        <v/>
      </c>
      <c r="AY34" s="55" t="str">
        <f aca="false">IF(AND(AY$7=$I34,OR(ISNUMBER(SEARCH("採用",$E34)),ISNUMBER(SEARCH("総務",$E34)),ISNUMBER(SEARCH("工場長",$E34)),ISNUMBER(SEARCH("社長",$E34)),ISNUMBER(SEARCH("出演",$E34)))),"◆","")</f>
        <v/>
      </c>
      <c r="AZ34" s="55" t="str">
        <f aca="false">IF(AND(AZ$7=$I34,OR(ISNUMBER(SEARCH("採用",$E34)),ISNUMBER(SEARCH("総務",$E34)),ISNUMBER(SEARCH("工場長",$E34)),ISNUMBER(SEARCH("社長",$E34)),ISNUMBER(SEARCH("出演",$E34)))),"◆","")</f>
        <v/>
      </c>
      <c r="BA34" s="55" t="str">
        <f aca="false">IF(AND(BA$7=$I34,OR(ISNUMBER(SEARCH("採用",$E34)),ISNUMBER(SEARCH("総務",$E34)),ISNUMBER(SEARCH("工場長",$E34)),ISNUMBER(SEARCH("社長",$E34)),ISNUMBER(SEARCH("出演",$E34)))),"◆","")</f>
        <v/>
      </c>
      <c r="BB34" s="55" t="str">
        <f aca="false">IF(AND(BB$7=$I34,OR(ISNUMBER(SEARCH("採用",$E34)),ISNUMBER(SEARCH("総務",$E34)),ISNUMBER(SEARCH("工場長",$E34)),ISNUMBER(SEARCH("社長",$E34)),ISNUMBER(SEARCH("出演",$E34)))),"◆","")</f>
        <v/>
      </c>
      <c r="BC34" s="55" t="str">
        <f aca="false">IF(AND(BC$7=$I34,OR(ISNUMBER(SEARCH("採用",$E34)),ISNUMBER(SEARCH("総務",$E34)),ISNUMBER(SEARCH("工場長",$E34)),ISNUMBER(SEARCH("社長",$E34)),ISNUMBER(SEARCH("出演",$E34)))),"◆","")</f>
        <v/>
      </c>
      <c r="BD34" s="55" t="str">
        <f aca="false">IF(AND(BD$7=$I34,OR(ISNUMBER(SEARCH("採用",$E34)),ISNUMBER(SEARCH("総務",$E34)),ISNUMBER(SEARCH("工場長",$E34)),ISNUMBER(SEARCH("社長",$E34)),ISNUMBER(SEARCH("出演",$E34)))),"◆","")</f>
        <v/>
      </c>
      <c r="BE34" s="55" t="str">
        <f aca="false">IF(AND(BE$7=$I34,OR(ISNUMBER(SEARCH("採用",$E34)),ISNUMBER(SEARCH("総務",$E34)),ISNUMBER(SEARCH("工場長",$E34)),ISNUMBER(SEARCH("社長",$E34)),ISNUMBER(SEARCH("出演",$E34)))),"◆","")</f>
        <v/>
      </c>
      <c r="BF34" s="55" t="str">
        <f aca="false">IF(AND(BF$7=$I34,OR(ISNUMBER(SEARCH("採用",$E34)),ISNUMBER(SEARCH("総務",$E34)),ISNUMBER(SEARCH("工場長",$E34)),ISNUMBER(SEARCH("社長",$E34)),ISNUMBER(SEARCH("出演",$E34)))),"◆","")</f>
        <v/>
      </c>
      <c r="BG34" s="55" t="str">
        <f aca="false">IF(AND(BG$7=$I34,OR(ISNUMBER(SEARCH("採用",$E34)),ISNUMBER(SEARCH("総務",$E34)),ISNUMBER(SEARCH("工場長",$E34)),ISNUMBER(SEARCH("社長",$E34)),ISNUMBER(SEARCH("出演",$E34)))),"◆","")</f>
        <v/>
      </c>
      <c r="BH34" s="55" t="str">
        <f aca="false">IF(AND(BH$7=$I34,OR(ISNUMBER(SEARCH("採用",$E34)),ISNUMBER(SEARCH("総務",$E34)),ISNUMBER(SEARCH("工場長",$E34)),ISNUMBER(SEARCH("社長",$E34)),ISNUMBER(SEARCH("出演",$E34)))),"◆","")</f>
        <v/>
      </c>
      <c r="BI34" s="55" t="str">
        <f aca="false">IF(AND(BI$7=$I34,OR(ISNUMBER(SEARCH("採用",$E34)),ISNUMBER(SEARCH("総務",$E34)),ISNUMBER(SEARCH("工場長",$E34)),ISNUMBER(SEARCH("社長",$E34)),ISNUMBER(SEARCH("出演",$E34)))),"◆","")</f>
        <v/>
      </c>
      <c r="BJ34" s="55" t="str">
        <f aca="false">IF(AND(BJ$7=$I34,OR(ISNUMBER(SEARCH("採用",$E34)),ISNUMBER(SEARCH("総務",$E34)),ISNUMBER(SEARCH("工場長",$E34)),ISNUMBER(SEARCH("社長",$E34)),ISNUMBER(SEARCH("出演",$E34)))),"◆","")</f>
        <v/>
      </c>
      <c r="BK34" s="55" t="str">
        <f aca="false">IF(AND(BK$7=$I34,OR(ISNUMBER(SEARCH("採用",$E34)),ISNUMBER(SEARCH("総務",$E34)),ISNUMBER(SEARCH("工場長",$E34)),ISNUMBER(SEARCH("社長",$E34)),ISNUMBER(SEARCH("出演",$E34)))),"◆","")</f>
        <v/>
      </c>
      <c r="BL34" s="55" t="str">
        <f aca="false">IF(AND(BL$7=$I34,OR(ISNUMBER(SEARCH("採用",$E34)),ISNUMBER(SEARCH("総務",$E34)),ISNUMBER(SEARCH("工場長",$E34)),ISNUMBER(SEARCH("社長",$E34)),ISNUMBER(SEARCH("出演",$E34)))),"◆","")</f>
        <v/>
      </c>
      <c r="BM34" s="55" t="str">
        <f aca="false">IF(AND(BM$7=$I34,OR(ISNUMBER(SEARCH("採用",$E34)),ISNUMBER(SEARCH("総務",$E34)),ISNUMBER(SEARCH("工場長",$E34)),ISNUMBER(SEARCH("社長",$E34)),ISNUMBER(SEARCH("出演",$E34)))),"◆","")</f>
        <v/>
      </c>
      <c r="BN34" s="55" t="str">
        <f aca="false">IF(AND(BN$7=$I34,OR(ISNUMBER(SEARCH("採用",$E34)),ISNUMBER(SEARCH("総務",$E34)),ISNUMBER(SEARCH("工場長",$E34)),ISNUMBER(SEARCH("社長",$E34)),ISNUMBER(SEARCH("出演",$E34)))),"◆","")</f>
        <v/>
      </c>
      <c r="BO34" s="55" t="str">
        <f aca="false">IF(AND(BO$7=$I34,OR(ISNUMBER(SEARCH("採用",$E34)),ISNUMBER(SEARCH("総務",$E34)),ISNUMBER(SEARCH("工場長",$E34)),ISNUMBER(SEARCH("社長",$E34)),ISNUMBER(SEARCH("出演",$E34)))),"◆","")</f>
        <v/>
      </c>
      <c r="BP34" s="55" t="str">
        <f aca="false">IF(AND(BP$7=$I34,OR(ISNUMBER(SEARCH("採用",$E34)),ISNUMBER(SEARCH("総務",$E34)),ISNUMBER(SEARCH("工場長",$E34)),ISNUMBER(SEARCH("社長",$E34)),ISNUMBER(SEARCH("出演",$E34)))),"◆","")</f>
        <v/>
      </c>
      <c r="BQ34" s="55" t="str">
        <f aca="false">IF(AND(BQ$7=$I34,OR(ISNUMBER(SEARCH("採用",$E34)),ISNUMBER(SEARCH("総務",$E34)),ISNUMBER(SEARCH("工場長",$E34)),ISNUMBER(SEARCH("社長",$E34)),ISNUMBER(SEARCH("出演",$E34)))),"◆","")</f>
        <v/>
      </c>
      <c r="BR34" s="55" t="str">
        <f aca="false">IF(AND(BR$7=$I34,OR(ISNUMBER(SEARCH("採用",$E34)),ISNUMBER(SEARCH("総務",$E34)),ISNUMBER(SEARCH("工場長",$E34)),ISNUMBER(SEARCH("社長",$E34)),ISNUMBER(SEARCH("出演",$E34)))),"◆","")</f>
        <v/>
      </c>
      <c r="BS34" s="55" t="str">
        <f aca="false">IF(AND(BS$7=$I34,OR(ISNUMBER(SEARCH("採用",$E34)),ISNUMBER(SEARCH("総務",$E34)),ISNUMBER(SEARCH("工場長",$E34)),ISNUMBER(SEARCH("社長",$E34)),ISNUMBER(SEARCH("出演",$E34)))),"◆","")</f>
        <v/>
      </c>
      <c r="BT34" s="55" t="str">
        <f aca="false">IF(AND(BT$7=$I34,OR(ISNUMBER(SEARCH("採用",$E34)),ISNUMBER(SEARCH("総務",$E34)),ISNUMBER(SEARCH("工場長",$E34)),ISNUMBER(SEARCH("社長",$E34)),ISNUMBER(SEARCH("出演",$E34)))),"◆","")</f>
        <v/>
      </c>
      <c r="BU34" s="55" t="str">
        <f aca="false">IF(AND(BU$7=$I34,OR(ISNUMBER(SEARCH("採用",$E34)),ISNUMBER(SEARCH("総務",$E34)),ISNUMBER(SEARCH("工場長",$E34)),ISNUMBER(SEARCH("社長",$E34)),ISNUMBER(SEARCH("出演",$E34)))),"◆","")</f>
        <v/>
      </c>
      <c r="BV34" s="55" t="str">
        <f aca="false">IF(AND(BV$7=$I34,OR(ISNUMBER(SEARCH("採用",$E34)),ISNUMBER(SEARCH("総務",$E34)),ISNUMBER(SEARCH("工場長",$E34)),ISNUMBER(SEARCH("社長",$E34)),ISNUMBER(SEARCH("出演",$E34)))),"◆","")</f>
        <v/>
      </c>
      <c r="BW34" s="55" t="str">
        <f aca="false">IF(AND(BW$7=$I34,OR(ISNUMBER(SEARCH("採用",$E34)),ISNUMBER(SEARCH("総務",$E34)),ISNUMBER(SEARCH("工場長",$E34)),ISNUMBER(SEARCH("社長",$E34)),ISNUMBER(SEARCH("出演",$E34)))),"◆","")</f>
        <v/>
      </c>
      <c r="BX34" s="55" t="str">
        <f aca="false">IF(AND(BX$7=$I34,OR(ISNUMBER(SEARCH("採用",$E34)),ISNUMBER(SEARCH("総務",$E34)),ISNUMBER(SEARCH("工場長",$E34)),ISNUMBER(SEARCH("社長",$E34)),ISNUMBER(SEARCH("出演",$E34)))),"◆","")</f>
        <v/>
      </c>
      <c r="BY34" s="55" t="str">
        <f aca="false">IF(AND(BY$7=$I34,OR(ISNUMBER(SEARCH("採用",$E34)),ISNUMBER(SEARCH("総務",$E34)),ISNUMBER(SEARCH("工場長",$E34)),ISNUMBER(SEARCH("社長",$E34)),ISNUMBER(SEARCH("出演",$E34)))),"◆","")</f>
        <v/>
      </c>
      <c r="BZ34" s="55" t="str">
        <f aca="false">IF(AND(BZ$7=$I34,OR(ISNUMBER(SEARCH("採用",$E34)),ISNUMBER(SEARCH("総務",$E34)),ISNUMBER(SEARCH("工場長",$E34)),ISNUMBER(SEARCH("社長",$E34)),ISNUMBER(SEARCH("出演",$E34)))),"◆","")</f>
        <v/>
      </c>
      <c r="CA34" s="55" t="str">
        <f aca="false">IF(AND(CA$7=$I34,OR(ISNUMBER(SEARCH("採用",$E34)),ISNUMBER(SEARCH("総務",$E34)),ISNUMBER(SEARCH("工場長",$E34)),ISNUMBER(SEARCH("社長",$E34)),ISNUMBER(SEARCH("出演",$E34)))),"◆","")</f>
        <v/>
      </c>
      <c r="CB34" s="55" t="str">
        <f aca="false">IF(AND(CB$7=$I34,OR(ISNUMBER(SEARCH("採用",$E34)),ISNUMBER(SEARCH("総務",$E34)),ISNUMBER(SEARCH("工場長",$E34)),ISNUMBER(SEARCH("社長",$E34)),ISNUMBER(SEARCH("出演",$E34)))),"◆","")</f>
        <v/>
      </c>
      <c r="CC34" s="55" t="str">
        <f aca="false">IF(AND(CC$7=$I34,OR(ISNUMBER(SEARCH("採用",$E34)),ISNUMBER(SEARCH("総務",$E34)),ISNUMBER(SEARCH("工場長",$E34)),ISNUMBER(SEARCH("社長",$E34)),ISNUMBER(SEARCH("出演",$E34)))),"◆","")</f>
        <v/>
      </c>
      <c r="CD34" s="55" t="str">
        <f aca="false">IF(AND(CD$7=$I34,OR(ISNUMBER(SEARCH("採用",$E34)),ISNUMBER(SEARCH("総務",$E34)),ISNUMBER(SEARCH("工場長",$E34)),ISNUMBER(SEARCH("社長",$E34)),ISNUMBER(SEARCH("出演",$E34)))),"◆","")</f>
        <v/>
      </c>
      <c r="CE34" s="55" t="str">
        <f aca="false">IF(AND(CE$7=$I34,OR(ISNUMBER(SEARCH("採用",$E34)),ISNUMBER(SEARCH("総務",$E34)),ISNUMBER(SEARCH("工場長",$E34)),ISNUMBER(SEARCH("社長",$E34)),ISNUMBER(SEARCH("出演",$E34)))),"◆","")</f>
        <v/>
      </c>
      <c r="CF34" s="55" t="str">
        <f aca="false">IF(AND(CF$7=$I34,OR(ISNUMBER(SEARCH("採用",$E34)),ISNUMBER(SEARCH("総務",$E34)),ISNUMBER(SEARCH("工場長",$E34)),ISNUMBER(SEARCH("社長",$E34)),ISNUMBER(SEARCH("出演",$E34)))),"◆","")</f>
        <v/>
      </c>
      <c r="CG34" s="55" t="str">
        <f aca="false">IF(AND(CG$7=$I34,OR(ISNUMBER(SEARCH("採用",$E34)),ISNUMBER(SEARCH("総務",$E34)),ISNUMBER(SEARCH("工場長",$E34)),ISNUMBER(SEARCH("社長",$E34)),ISNUMBER(SEARCH("出演",$E34)))),"◆","")</f>
        <v>◆</v>
      </c>
      <c r="CH34" s="55" t="str">
        <f aca="false">IF(AND(CH$7=$I34,OR(ISNUMBER(SEARCH("採用",$E34)),ISNUMBER(SEARCH("総務",$E34)),ISNUMBER(SEARCH("工場長",$E34)),ISNUMBER(SEARCH("社長",$E34)),ISNUMBER(SEARCH("出演",$E34)))),"◆","")</f>
        <v/>
      </c>
      <c r="CI34" s="55" t="str">
        <f aca="false">IF(AND(CI$7=$I34,OR(ISNUMBER(SEARCH("採用",$E34)),ISNUMBER(SEARCH("総務",$E34)),ISNUMBER(SEARCH("工場長",$E34)),ISNUMBER(SEARCH("社長",$E34)),ISNUMBER(SEARCH("出演",$E34)))),"◆","")</f>
        <v/>
      </c>
      <c r="CJ34" s="55" t="str">
        <f aca="false">IF(AND(CJ$7=$I34,OR(ISNUMBER(SEARCH("採用",$E34)),ISNUMBER(SEARCH("総務",$E34)),ISNUMBER(SEARCH("工場長",$E34)),ISNUMBER(SEARCH("社長",$E34)),ISNUMBER(SEARCH("出演",$E34)))),"◆","")</f>
        <v/>
      </c>
      <c r="CK34" s="55" t="str">
        <f aca="false">IF(AND(CK$7=$I34,OR(ISNUMBER(SEARCH("採用",$E34)),ISNUMBER(SEARCH("総務",$E34)),ISNUMBER(SEARCH("工場長",$E34)),ISNUMBER(SEARCH("社長",$E34)),ISNUMBER(SEARCH("出演",$E34)))),"◆","")</f>
        <v/>
      </c>
      <c r="CL34" s="55" t="str">
        <f aca="false">IF(AND(CL$7=$I34,OR(ISNUMBER(SEARCH("採用",$E34)),ISNUMBER(SEARCH("総務",$E34)),ISNUMBER(SEARCH("工場長",$E34)),ISNUMBER(SEARCH("社長",$E34)),ISNUMBER(SEARCH("出演",$E34)))),"◆","")</f>
        <v/>
      </c>
      <c r="CM34" s="55" t="str">
        <f aca="false">IF(AND(CM$7=$I34,OR(ISNUMBER(SEARCH("採用",$E34)),ISNUMBER(SEARCH("総務",$E34)),ISNUMBER(SEARCH("工場長",$E34)),ISNUMBER(SEARCH("社長",$E34)),ISNUMBER(SEARCH("出演",$E34)))),"◆","")</f>
        <v/>
      </c>
      <c r="CN34" s="55" t="str">
        <f aca="false">IF(AND(CN$7=$I34,OR(ISNUMBER(SEARCH("採用",$E34)),ISNUMBER(SEARCH("総務",$E34)),ISNUMBER(SEARCH("工場長",$E34)),ISNUMBER(SEARCH("社長",$E34)),ISNUMBER(SEARCH("出演",$E34)))),"◆","")</f>
        <v/>
      </c>
      <c r="CO34" s="55" t="str">
        <f aca="false">IF(AND(CO$7=$I34,OR(ISNUMBER(SEARCH("採用",$E34)),ISNUMBER(SEARCH("総務",$E34)),ISNUMBER(SEARCH("工場長",$E34)),ISNUMBER(SEARCH("社長",$E34)),ISNUMBER(SEARCH("出演",$E34)))),"◆","")</f>
        <v/>
      </c>
      <c r="CP34" s="55" t="str">
        <f aca="false">IF(AND(CP$7=$I34,OR(ISNUMBER(SEARCH("採用",$E34)),ISNUMBER(SEARCH("総務",$E34)),ISNUMBER(SEARCH("工場長",$E34)),ISNUMBER(SEARCH("社長",$E34)),ISNUMBER(SEARCH("出演",$E34)))),"◆","")</f>
        <v/>
      </c>
    </row>
    <row r="35" customFormat="false" ht="25.5" hidden="false" customHeight="true" outlineLevel="0" collapsed="false">
      <c r="A35" s="48" t="str">
        <f aca="false">制作工程表!A28</f>
        <v>T20</v>
      </c>
      <c r="B35" s="49" t="str">
        <f aca="false">制作工程表!B28</f>
        <v>修正</v>
      </c>
      <c r="C35" s="50" t="str">
        <f aca="false">制作工程表!C28</f>
        <v>最終修正・公開準備</v>
      </c>
      <c r="D35" s="51" t="str">
        <f aca="false">制作工程表!D28</f>
        <v>実装担当</v>
      </c>
      <c r="E35" s="51" t="str">
        <f aca="false">制作工程表!E28</f>
        <v>—</v>
      </c>
      <c r="F35" s="52" t="str">
        <f aca="false">IF(制作工程表!B28="取材撮影","撮影",IF(OR(制作工程表!D28="採用担当",制作工程表!D28="総務窓口",制作工程表!D28="工場長"),"企業","制作"))</f>
        <v>制作</v>
      </c>
      <c r="G35" s="53" t="n">
        <f aca="false">制作工程表!G28</f>
        <v>46377</v>
      </c>
      <c r="H35" s="53" t="n">
        <f aca="false">制作工程表!H28</f>
        <v>46378</v>
      </c>
      <c r="I35" s="54" t="str">
        <f aca="false">制作工程表!I28</f>
        <v>—</v>
      </c>
      <c r="J35" s="49" t="str">
        <f aca="false">制作工程表!K28</f>
        <v>未着手</v>
      </c>
      <c r="K35" s="55" t="str">
        <f aca="false">IF(AND(K$7=$I35,OR(ISNUMBER(SEARCH("採用",$E35)),ISNUMBER(SEARCH("総務",$E35)),ISNUMBER(SEARCH("工場長",$E35)),ISNUMBER(SEARCH("社長",$E35)),ISNUMBER(SEARCH("出演",$E35)))),"◆","")</f>
        <v/>
      </c>
      <c r="L35" s="55" t="str">
        <f aca="false">IF(AND(L$7=$I35,OR(ISNUMBER(SEARCH("採用",$E35)),ISNUMBER(SEARCH("総務",$E35)),ISNUMBER(SEARCH("工場長",$E35)),ISNUMBER(SEARCH("社長",$E35)),ISNUMBER(SEARCH("出演",$E35)))),"◆","")</f>
        <v/>
      </c>
      <c r="M35" s="55" t="str">
        <f aca="false">IF(AND(M$7=$I35,OR(ISNUMBER(SEARCH("採用",$E35)),ISNUMBER(SEARCH("総務",$E35)),ISNUMBER(SEARCH("工場長",$E35)),ISNUMBER(SEARCH("社長",$E35)),ISNUMBER(SEARCH("出演",$E35)))),"◆","")</f>
        <v/>
      </c>
      <c r="N35" s="55" t="str">
        <f aca="false">IF(AND(N$7=$I35,OR(ISNUMBER(SEARCH("採用",$E35)),ISNUMBER(SEARCH("総務",$E35)),ISNUMBER(SEARCH("工場長",$E35)),ISNUMBER(SEARCH("社長",$E35)),ISNUMBER(SEARCH("出演",$E35)))),"◆","")</f>
        <v/>
      </c>
      <c r="O35" s="55" t="str">
        <f aca="false">IF(AND(O$7=$I35,OR(ISNUMBER(SEARCH("採用",$E35)),ISNUMBER(SEARCH("総務",$E35)),ISNUMBER(SEARCH("工場長",$E35)),ISNUMBER(SEARCH("社長",$E35)),ISNUMBER(SEARCH("出演",$E35)))),"◆","")</f>
        <v/>
      </c>
      <c r="P35" s="55" t="str">
        <f aca="false">IF(AND(P$7=$I35,OR(ISNUMBER(SEARCH("採用",$E35)),ISNUMBER(SEARCH("総務",$E35)),ISNUMBER(SEARCH("工場長",$E35)),ISNUMBER(SEARCH("社長",$E35)),ISNUMBER(SEARCH("出演",$E35)))),"◆","")</f>
        <v/>
      </c>
      <c r="Q35" s="55" t="str">
        <f aca="false">IF(AND(Q$7=$I35,OR(ISNUMBER(SEARCH("採用",$E35)),ISNUMBER(SEARCH("総務",$E35)),ISNUMBER(SEARCH("工場長",$E35)),ISNUMBER(SEARCH("社長",$E35)),ISNUMBER(SEARCH("出演",$E35)))),"◆","")</f>
        <v/>
      </c>
      <c r="R35" s="55" t="str">
        <f aca="false">IF(AND(R$7=$I35,OR(ISNUMBER(SEARCH("採用",$E35)),ISNUMBER(SEARCH("総務",$E35)),ISNUMBER(SEARCH("工場長",$E35)),ISNUMBER(SEARCH("社長",$E35)),ISNUMBER(SEARCH("出演",$E35)))),"◆","")</f>
        <v/>
      </c>
      <c r="S35" s="55" t="str">
        <f aca="false">IF(AND(S$7=$I35,OR(ISNUMBER(SEARCH("採用",$E35)),ISNUMBER(SEARCH("総務",$E35)),ISNUMBER(SEARCH("工場長",$E35)),ISNUMBER(SEARCH("社長",$E35)),ISNUMBER(SEARCH("出演",$E35)))),"◆","")</f>
        <v/>
      </c>
      <c r="T35" s="55" t="str">
        <f aca="false">IF(AND(T$7=$I35,OR(ISNUMBER(SEARCH("採用",$E35)),ISNUMBER(SEARCH("総務",$E35)),ISNUMBER(SEARCH("工場長",$E35)),ISNUMBER(SEARCH("社長",$E35)),ISNUMBER(SEARCH("出演",$E35)))),"◆","")</f>
        <v/>
      </c>
      <c r="U35" s="55" t="str">
        <f aca="false">IF(AND(U$7=$I35,OR(ISNUMBER(SEARCH("採用",$E35)),ISNUMBER(SEARCH("総務",$E35)),ISNUMBER(SEARCH("工場長",$E35)),ISNUMBER(SEARCH("社長",$E35)),ISNUMBER(SEARCH("出演",$E35)))),"◆","")</f>
        <v/>
      </c>
      <c r="V35" s="55" t="str">
        <f aca="false">IF(AND(V$7=$I35,OR(ISNUMBER(SEARCH("採用",$E35)),ISNUMBER(SEARCH("総務",$E35)),ISNUMBER(SEARCH("工場長",$E35)),ISNUMBER(SEARCH("社長",$E35)),ISNUMBER(SEARCH("出演",$E35)))),"◆","")</f>
        <v/>
      </c>
      <c r="W35" s="55" t="str">
        <f aca="false">IF(AND(W$7=$I35,OR(ISNUMBER(SEARCH("採用",$E35)),ISNUMBER(SEARCH("総務",$E35)),ISNUMBER(SEARCH("工場長",$E35)),ISNUMBER(SEARCH("社長",$E35)),ISNUMBER(SEARCH("出演",$E35)))),"◆","")</f>
        <v/>
      </c>
      <c r="X35" s="55" t="str">
        <f aca="false">IF(AND(X$7=$I35,OR(ISNUMBER(SEARCH("採用",$E35)),ISNUMBER(SEARCH("総務",$E35)),ISNUMBER(SEARCH("工場長",$E35)),ISNUMBER(SEARCH("社長",$E35)),ISNUMBER(SEARCH("出演",$E35)))),"◆","")</f>
        <v/>
      </c>
      <c r="Y35" s="55" t="str">
        <f aca="false">IF(AND(Y$7=$I35,OR(ISNUMBER(SEARCH("採用",$E35)),ISNUMBER(SEARCH("総務",$E35)),ISNUMBER(SEARCH("工場長",$E35)),ISNUMBER(SEARCH("社長",$E35)),ISNUMBER(SEARCH("出演",$E35)))),"◆","")</f>
        <v/>
      </c>
      <c r="Z35" s="55" t="str">
        <f aca="false">IF(AND(Z$7=$I35,OR(ISNUMBER(SEARCH("採用",$E35)),ISNUMBER(SEARCH("総務",$E35)),ISNUMBER(SEARCH("工場長",$E35)),ISNUMBER(SEARCH("社長",$E35)),ISNUMBER(SEARCH("出演",$E35)))),"◆","")</f>
        <v/>
      </c>
      <c r="AA35" s="55" t="str">
        <f aca="false">IF(AND(AA$7=$I35,OR(ISNUMBER(SEARCH("採用",$E35)),ISNUMBER(SEARCH("総務",$E35)),ISNUMBER(SEARCH("工場長",$E35)),ISNUMBER(SEARCH("社長",$E35)),ISNUMBER(SEARCH("出演",$E35)))),"◆","")</f>
        <v/>
      </c>
      <c r="AB35" s="55" t="str">
        <f aca="false">IF(AND(AB$7=$I35,OR(ISNUMBER(SEARCH("採用",$E35)),ISNUMBER(SEARCH("総務",$E35)),ISNUMBER(SEARCH("工場長",$E35)),ISNUMBER(SEARCH("社長",$E35)),ISNUMBER(SEARCH("出演",$E35)))),"◆","")</f>
        <v/>
      </c>
      <c r="AC35" s="55" t="str">
        <f aca="false">IF(AND(AC$7=$I35,OR(ISNUMBER(SEARCH("採用",$E35)),ISNUMBER(SEARCH("総務",$E35)),ISNUMBER(SEARCH("工場長",$E35)),ISNUMBER(SEARCH("社長",$E35)),ISNUMBER(SEARCH("出演",$E35)))),"◆","")</f>
        <v/>
      </c>
      <c r="AD35" s="55" t="str">
        <f aca="false">IF(AND(AD$7=$I35,OR(ISNUMBER(SEARCH("採用",$E35)),ISNUMBER(SEARCH("総務",$E35)),ISNUMBER(SEARCH("工場長",$E35)),ISNUMBER(SEARCH("社長",$E35)),ISNUMBER(SEARCH("出演",$E35)))),"◆","")</f>
        <v/>
      </c>
      <c r="AE35" s="55" t="str">
        <f aca="false">IF(AND(AE$7=$I35,OR(ISNUMBER(SEARCH("採用",$E35)),ISNUMBER(SEARCH("総務",$E35)),ISNUMBER(SEARCH("工場長",$E35)),ISNUMBER(SEARCH("社長",$E35)),ISNUMBER(SEARCH("出演",$E35)))),"◆","")</f>
        <v/>
      </c>
      <c r="AF35" s="55" t="str">
        <f aca="false">IF(AND(AF$7=$I35,OR(ISNUMBER(SEARCH("採用",$E35)),ISNUMBER(SEARCH("総務",$E35)),ISNUMBER(SEARCH("工場長",$E35)),ISNUMBER(SEARCH("社長",$E35)),ISNUMBER(SEARCH("出演",$E35)))),"◆","")</f>
        <v/>
      </c>
      <c r="AG35" s="55" t="str">
        <f aca="false">IF(AND(AG$7=$I35,OR(ISNUMBER(SEARCH("採用",$E35)),ISNUMBER(SEARCH("総務",$E35)),ISNUMBER(SEARCH("工場長",$E35)),ISNUMBER(SEARCH("社長",$E35)),ISNUMBER(SEARCH("出演",$E35)))),"◆","")</f>
        <v/>
      </c>
      <c r="AH35" s="55" t="str">
        <f aca="false">IF(AND(AH$7=$I35,OR(ISNUMBER(SEARCH("採用",$E35)),ISNUMBER(SEARCH("総務",$E35)),ISNUMBER(SEARCH("工場長",$E35)),ISNUMBER(SEARCH("社長",$E35)),ISNUMBER(SEARCH("出演",$E35)))),"◆","")</f>
        <v/>
      </c>
      <c r="AI35" s="55" t="str">
        <f aca="false">IF(AND(AI$7=$I35,OR(ISNUMBER(SEARCH("採用",$E35)),ISNUMBER(SEARCH("総務",$E35)),ISNUMBER(SEARCH("工場長",$E35)),ISNUMBER(SEARCH("社長",$E35)),ISNUMBER(SEARCH("出演",$E35)))),"◆","")</f>
        <v/>
      </c>
      <c r="AJ35" s="55" t="str">
        <f aca="false">IF(AND(AJ$7=$I35,OR(ISNUMBER(SEARCH("採用",$E35)),ISNUMBER(SEARCH("総務",$E35)),ISNUMBER(SEARCH("工場長",$E35)),ISNUMBER(SEARCH("社長",$E35)),ISNUMBER(SEARCH("出演",$E35)))),"◆","")</f>
        <v/>
      </c>
      <c r="AK35" s="55" t="str">
        <f aca="false">IF(AND(AK$7=$I35,OR(ISNUMBER(SEARCH("採用",$E35)),ISNUMBER(SEARCH("総務",$E35)),ISNUMBER(SEARCH("工場長",$E35)),ISNUMBER(SEARCH("社長",$E35)),ISNUMBER(SEARCH("出演",$E35)))),"◆","")</f>
        <v/>
      </c>
      <c r="AL35" s="55" t="str">
        <f aca="false">IF(AND(AL$7=$I35,OR(ISNUMBER(SEARCH("採用",$E35)),ISNUMBER(SEARCH("総務",$E35)),ISNUMBER(SEARCH("工場長",$E35)),ISNUMBER(SEARCH("社長",$E35)),ISNUMBER(SEARCH("出演",$E35)))),"◆","")</f>
        <v/>
      </c>
      <c r="AM35" s="55" t="str">
        <f aca="false">IF(AND(AM$7=$I35,OR(ISNUMBER(SEARCH("採用",$E35)),ISNUMBER(SEARCH("総務",$E35)),ISNUMBER(SEARCH("工場長",$E35)),ISNUMBER(SEARCH("社長",$E35)),ISNUMBER(SEARCH("出演",$E35)))),"◆","")</f>
        <v/>
      </c>
      <c r="AN35" s="55" t="str">
        <f aca="false">IF(AND(AN$7=$I35,OR(ISNUMBER(SEARCH("採用",$E35)),ISNUMBER(SEARCH("総務",$E35)),ISNUMBER(SEARCH("工場長",$E35)),ISNUMBER(SEARCH("社長",$E35)),ISNUMBER(SEARCH("出演",$E35)))),"◆","")</f>
        <v/>
      </c>
      <c r="AO35" s="55" t="str">
        <f aca="false">IF(AND(AO$7=$I35,OR(ISNUMBER(SEARCH("採用",$E35)),ISNUMBER(SEARCH("総務",$E35)),ISNUMBER(SEARCH("工場長",$E35)),ISNUMBER(SEARCH("社長",$E35)),ISNUMBER(SEARCH("出演",$E35)))),"◆","")</f>
        <v/>
      </c>
      <c r="AP35" s="55" t="str">
        <f aca="false">IF(AND(AP$7=$I35,OR(ISNUMBER(SEARCH("採用",$E35)),ISNUMBER(SEARCH("総務",$E35)),ISNUMBER(SEARCH("工場長",$E35)),ISNUMBER(SEARCH("社長",$E35)),ISNUMBER(SEARCH("出演",$E35)))),"◆","")</f>
        <v/>
      </c>
      <c r="AQ35" s="55" t="str">
        <f aca="false">IF(AND(AQ$7=$I35,OR(ISNUMBER(SEARCH("採用",$E35)),ISNUMBER(SEARCH("総務",$E35)),ISNUMBER(SEARCH("工場長",$E35)),ISNUMBER(SEARCH("社長",$E35)),ISNUMBER(SEARCH("出演",$E35)))),"◆","")</f>
        <v/>
      </c>
      <c r="AR35" s="55" t="str">
        <f aca="false">IF(AND(AR$7=$I35,OR(ISNUMBER(SEARCH("採用",$E35)),ISNUMBER(SEARCH("総務",$E35)),ISNUMBER(SEARCH("工場長",$E35)),ISNUMBER(SEARCH("社長",$E35)),ISNUMBER(SEARCH("出演",$E35)))),"◆","")</f>
        <v/>
      </c>
      <c r="AS35" s="55" t="str">
        <f aca="false">IF(AND(AS$7=$I35,OR(ISNUMBER(SEARCH("採用",$E35)),ISNUMBER(SEARCH("総務",$E35)),ISNUMBER(SEARCH("工場長",$E35)),ISNUMBER(SEARCH("社長",$E35)),ISNUMBER(SEARCH("出演",$E35)))),"◆","")</f>
        <v/>
      </c>
      <c r="AT35" s="55" t="str">
        <f aca="false">IF(AND(AT$7=$I35,OR(ISNUMBER(SEARCH("採用",$E35)),ISNUMBER(SEARCH("総務",$E35)),ISNUMBER(SEARCH("工場長",$E35)),ISNUMBER(SEARCH("社長",$E35)),ISNUMBER(SEARCH("出演",$E35)))),"◆","")</f>
        <v/>
      </c>
      <c r="AU35" s="55" t="str">
        <f aca="false">IF(AND(AU$7=$I35,OR(ISNUMBER(SEARCH("採用",$E35)),ISNUMBER(SEARCH("総務",$E35)),ISNUMBER(SEARCH("工場長",$E35)),ISNUMBER(SEARCH("社長",$E35)),ISNUMBER(SEARCH("出演",$E35)))),"◆","")</f>
        <v/>
      </c>
      <c r="AV35" s="55" t="str">
        <f aca="false">IF(AND(AV$7=$I35,OR(ISNUMBER(SEARCH("採用",$E35)),ISNUMBER(SEARCH("総務",$E35)),ISNUMBER(SEARCH("工場長",$E35)),ISNUMBER(SEARCH("社長",$E35)),ISNUMBER(SEARCH("出演",$E35)))),"◆","")</f>
        <v/>
      </c>
      <c r="AW35" s="55" t="str">
        <f aca="false">IF(AND(AW$7=$I35,OR(ISNUMBER(SEARCH("採用",$E35)),ISNUMBER(SEARCH("総務",$E35)),ISNUMBER(SEARCH("工場長",$E35)),ISNUMBER(SEARCH("社長",$E35)),ISNUMBER(SEARCH("出演",$E35)))),"◆","")</f>
        <v/>
      </c>
      <c r="AX35" s="55" t="str">
        <f aca="false">IF(AND(AX$7=$I35,OR(ISNUMBER(SEARCH("採用",$E35)),ISNUMBER(SEARCH("総務",$E35)),ISNUMBER(SEARCH("工場長",$E35)),ISNUMBER(SEARCH("社長",$E35)),ISNUMBER(SEARCH("出演",$E35)))),"◆","")</f>
        <v/>
      </c>
      <c r="AY35" s="55" t="str">
        <f aca="false">IF(AND(AY$7=$I35,OR(ISNUMBER(SEARCH("採用",$E35)),ISNUMBER(SEARCH("総務",$E35)),ISNUMBER(SEARCH("工場長",$E35)),ISNUMBER(SEARCH("社長",$E35)),ISNUMBER(SEARCH("出演",$E35)))),"◆","")</f>
        <v/>
      </c>
      <c r="AZ35" s="55" t="str">
        <f aca="false">IF(AND(AZ$7=$I35,OR(ISNUMBER(SEARCH("採用",$E35)),ISNUMBER(SEARCH("総務",$E35)),ISNUMBER(SEARCH("工場長",$E35)),ISNUMBER(SEARCH("社長",$E35)),ISNUMBER(SEARCH("出演",$E35)))),"◆","")</f>
        <v/>
      </c>
      <c r="BA35" s="55" t="str">
        <f aca="false">IF(AND(BA$7=$I35,OR(ISNUMBER(SEARCH("採用",$E35)),ISNUMBER(SEARCH("総務",$E35)),ISNUMBER(SEARCH("工場長",$E35)),ISNUMBER(SEARCH("社長",$E35)),ISNUMBER(SEARCH("出演",$E35)))),"◆","")</f>
        <v/>
      </c>
      <c r="BB35" s="55" t="str">
        <f aca="false">IF(AND(BB$7=$I35,OR(ISNUMBER(SEARCH("採用",$E35)),ISNUMBER(SEARCH("総務",$E35)),ISNUMBER(SEARCH("工場長",$E35)),ISNUMBER(SEARCH("社長",$E35)),ISNUMBER(SEARCH("出演",$E35)))),"◆","")</f>
        <v/>
      </c>
      <c r="BC35" s="55" t="str">
        <f aca="false">IF(AND(BC$7=$I35,OR(ISNUMBER(SEARCH("採用",$E35)),ISNUMBER(SEARCH("総務",$E35)),ISNUMBER(SEARCH("工場長",$E35)),ISNUMBER(SEARCH("社長",$E35)),ISNUMBER(SEARCH("出演",$E35)))),"◆","")</f>
        <v/>
      </c>
      <c r="BD35" s="55" t="str">
        <f aca="false">IF(AND(BD$7=$I35,OR(ISNUMBER(SEARCH("採用",$E35)),ISNUMBER(SEARCH("総務",$E35)),ISNUMBER(SEARCH("工場長",$E35)),ISNUMBER(SEARCH("社長",$E35)),ISNUMBER(SEARCH("出演",$E35)))),"◆","")</f>
        <v/>
      </c>
      <c r="BE35" s="55" t="str">
        <f aca="false">IF(AND(BE$7=$I35,OR(ISNUMBER(SEARCH("採用",$E35)),ISNUMBER(SEARCH("総務",$E35)),ISNUMBER(SEARCH("工場長",$E35)),ISNUMBER(SEARCH("社長",$E35)),ISNUMBER(SEARCH("出演",$E35)))),"◆","")</f>
        <v/>
      </c>
      <c r="BF35" s="55" t="str">
        <f aca="false">IF(AND(BF$7=$I35,OR(ISNUMBER(SEARCH("採用",$E35)),ISNUMBER(SEARCH("総務",$E35)),ISNUMBER(SEARCH("工場長",$E35)),ISNUMBER(SEARCH("社長",$E35)),ISNUMBER(SEARCH("出演",$E35)))),"◆","")</f>
        <v/>
      </c>
      <c r="BG35" s="55" t="str">
        <f aca="false">IF(AND(BG$7=$I35,OR(ISNUMBER(SEARCH("採用",$E35)),ISNUMBER(SEARCH("総務",$E35)),ISNUMBER(SEARCH("工場長",$E35)),ISNUMBER(SEARCH("社長",$E35)),ISNUMBER(SEARCH("出演",$E35)))),"◆","")</f>
        <v/>
      </c>
      <c r="BH35" s="55" t="str">
        <f aca="false">IF(AND(BH$7=$I35,OR(ISNUMBER(SEARCH("採用",$E35)),ISNUMBER(SEARCH("総務",$E35)),ISNUMBER(SEARCH("工場長",$E35)),ISNUMBER(SEARCH("社長",$E35)),ISNUMBER(SEARCH("出演",$E35)))),"◆","")</f>
        <v/>
      </c>
      <c r="BI35" s="55" t="str">
        <f aca="false">IF(AND(BI$7=$I35,OR(ISNUMBER(SEARCH("採用",$E35)),ISNUMBER(SEARCH("総務",$E35)),ISNUMBER(SEARCH("工場長",$E35)),ISNUMBER(SEARCH("社長",$E35)),ISNUMBER(SEARCH("出演",$E35)))),"◆","")</f>
        <v/>
      </c>
      <c r="BJ35" s="55" t="str">
        <f aca="false">IF(AND(BJ$7=$I35,OR(ISNUMBER(SEARCH("採用",$E35)),ISNUMBER(SEARCH("総務",$E35)),ISNUMBER(SEARCH("工場長",$E35)),ISNUMBER(SEARCH("社長",$E35)),ISNUMBER(SEARCH("出演",$E35)))),"◆","")</f>
        <v/>
      </c>
      <c r="BK35" s="55" t="str">
        <f aca="false">IF(AND(BK$7=$I35,OR(ISNUMBER(SEARCH("採用",$E35)),ISNUMBER(SEARCH("総務",$E35)),ISNUMBER(SEARCH("工場長",$E35)),ISNUMBER(SEARCH("社長",$E35)),ISNUMBER(SEARCH("出演",$E35)))),"◆","")</f>
        <v/>
      </c>
      <c r="BL35" s="55" t="str">
        <f aca="false">IF(AND(BL$7=$I35,OR(ISNUMBER(SEARCH("採用",$E35)),ISNUMBER(SEARCH("総務",$E35)),ISNUMBER(SEARCH("工場長",$E35)),ISNUMBER(SEARCH("社長",$E35)),ISNUMBER(SEARCH("出演",$E35)))),"◆","")</f>
        <v/>
      </c>
      <c r="BM35" s="55" t="str">
        <f aca="false">IF(AND(BM$7=$I35,OR(ISNUMBER(SEARCH("採用",$E35)),ISNUMBER(SEARCH("総務",$E35)),ISNUMBER(SEARCH("工場長",$E35)),ISNUMBER(SEARCH("社長",$E35)),ISNUMBER(SEARCH("出演",$E35)))),"◆","")</f>
        <v/>
      </c>
      <c r="BN35" s="55" t="str">
        <f aca="false">IF(AND(BN$7=$I35,OR(ISNUMBER(SEARCH("採用",$E35)),ISNUMBER(SEARCH("総務",$E35)),ISNUMBER(SEARCH("工場長",$E35)),ISNUMBER(SEARCH("社長",$E35)),ISNUMBER(SEARCH("出演",$E35)))),"◆","")</f>
        <v/>
      </c>
      <c r="BO35" s="55" t="str">
        <f aca="false">IF(AND(BO$7=$I35,OR(ISNUMBER(SEARCH("採用",$E35)),ISNUMBER(SEARCH("総務",$E35)),ISNUMBER(SEARCH("工場長",$E35)),ISNUMBER(SEARCH("社長",$E35)),ISNUMBER(SEARCH("出演",$E35)))),"◆","")</f>
        <v/>
      </c>
      <c r="BP35" s="55" t="str">
        <f aca="false">IF(AND(BP$7=$I35,OR(ISNUMBER(SEARCH("採用",$E35)),ISNUMBER(SEARCH("総務",$E35)),ISNUMBER(SEARCH("工場長",$E35)),ISNUMBER(SEARCH("社長",$E35)),ISNUMBER(SEARCH("出演",$E35)))),"◆","")</f>
        <v/>
      </c>
      <c r="BQ35" s="55" t="str">
        <f aca="false">IF(AND(BQ$7=$I35,OR(ISNUMBER(SEARCH("採用",$E35)),ISNUMBER(SEARCH("総務",$E35)),ISNUMBER(SEARCH("工場長",$E35)),ISNUMBER(SEARCH("社長",$E35)),ISNUMBER(SEARCH("出演",$E35)))),"◆","")</f>
        <v/>
      </c>
      <c r="BR35" s="55" t="str">
        <f aca="false">IF(AND(BR$7=$I35,OR(ISNUMBER(SEARCH("採用",$E35)),ISNUMBER(SEARCH("総務",$E35)),ISNUMBER(SEARCH("工場長",$E35)),ISNUMBER(SEARCH("社長",$E35)),ISNUMBER(SEARCH("出演",$E35)))),"◆","")</f>
        <v/>
      </c>
      <c r="BS35" s="55" t="str">
        <f aca="false">IF(AND(BS$7=$I35,OR(ISNUMBER(SEARCH("採用",$E35)),ISNUMBER(SEARCH("総務",$E35)),ISNUMBER(SEARCH("工場長",$E35)),ISNUMBER(SEARCH("社長",$E35)),ISNUMBER(SEARCH("出演",$E35)))),"◆","")</f>
        <v/>
      </c>
      <c r="BT35" s="55" t="str">
        <f aca="false">IF(AND(BT$7=$I35,OR(ISNUMBER(SEARCH("採用",$E35)),ISNUMBER(SEARCH("総務",$E35)),ISNUMBER(SEARCH("工場長",$E35)),ISNUMBER(SEARCH("社長",$E35)),ISNUMBER(SEARCH("出演",$E35)))),"◆","")</f>
        <v/>
      </c>
      <c r="BU35" s="55" t="str">
        <f aca="false">IF(AND(BU$7=$I35,OR(ISNUMBER(SEARCH("採用",$E35)),ISNUMBER(SEARCH("総務",$E35)),ISNUMBER(SEARCH("工場長",$E35)),ISNUMBER(SEARCH("社長",$E35)),ISNUMBER(SEARCH("出演",$E35)))),"◆","")</f>
        <v/>
      </c>
      <c r="BV35" s="55" t="str">
        <f aca="false">IF(AND(BV$7=$I35,OR(ISNUMBER(SEARCH("採用",$E35)),ISNUMBER(SEARCH("総務",$E35)),ISNUMBER(SEARCH("工場長",$E35)),ISNUMBER(SEARCH("社長",$E35)),ISNUMBER(SEARCH("出演",$E35)))),"◆","")</f>
        <v/>
      </c>
      <c r="BW35" s="55" t="str">
        <f aca="false">IF(AND(BW$7=$I35,OR(ISNUMBER(SEARCH("採用",$E35)),ISNUMBER(SEARCH("総務",$E35)),ISNUMBER(SEARCH("工場長",$E35)),ISNUMBER(SEARCH("社長",$E35)),ISNUMBER(SEARCH("出演",$E35)))),"◆","")</f>
        <v/>
      </c>
      <c r="BX35" s="55" t="str">
        <f aca="false">IF(AND(BX$7=$I35,OR(ISNUMBER(SEARCH("採用",$E35)),ISNUMBER(SEARCH("総務",$E35)),ISNUMBER(SEARCH("工場長",$E35)),ISNUMBER(SEARCH("社長",$E35)),ISNUMBER(SEARCH("出演",$E35)))),"◆","")</f>
        <v/>
      </c>
      <c r="BY35" s="55" t="str">
        <f aca="false">IF(AND(BY$7=$I35,OR(ISNUMBER(SEARCH("採用",$E35)),ISNUMBER(SEARCH("総務",$E35)),ISNUMBER(SEARCH("工場長",$E35)),ISNUMBER(SEARCH("社長",$E35)),ISNUMBER(SEARCH("出演",$E35)))),"◆","")</f>
        <v/>
      </c>
      <c r="BZ35" s="55" t="str">
        <f aca="false">IF(AND(BZ$7=$I35,OR(ISNUMBER(SEARCH("採用",$E35)),ISNUMBER(SEARCH("総務",$E35)),ISNUMBER(SEARCH("工場長",$E35)),ISNUMBER(SEARCH("社長",$E35)),ISNUMBER(SEARCH("出演",$E35)))),"◆","")</f>
        <v/>
      </c>
      <c r="CA35" s="55" t="str">
        <f aca="false">IF(AND(CA$7=$I35,OR(ISNUMBER(SEARCH("採用",$E35)),ISNUMBER(SEARCH("総務",$E35)),ISNUMBER(SEARCH("工場長",$E35)),ISNUMBER(SEARCH("社長",$E35)),ISNUMBER(SEARCH("出演",$E35)))),"◆","")</f>
        <v/>
      </c>
      <c r="CB35" s="55" t="str">
        <f aca="false">IF(AND(CB$7=$I35,OR(ISNUMBER(SEARCH("採用",$E35)),ISNUMBER(SEARCH("総務",$E35)),ISNUMBER(SEARCH("工場長",$E35)),ISNUMBER(SEARCH("社長",$E35)),ISNUMBER(SEARCH("出演",$E35)))),"◆","")</f>
        <v/>
      </c>
      <c r="CC35" s="55" t="str">
        <f aca="false">IF(AND(CC$7=$I35,OR(ISNUMBER(SEARCH("採用",$E35)),ISNUMBER(SEARCH("総務",$E35)),ISNUMBER(SEARCH("工場長",$E35)),ISNUMBER(SEARCH("社長",$E35)),ISNUMBER(SEARCH("出演",$E35)))),"◆","")</f>
        <v/>
      </c>
      <c r="CD35" s="55" t="str">
        <f aca="false">IF(AND(CD$7=$I35,OR(ISNUMBER(SEARCH("採用",$E35)),ISNUMBER(SEARCH("総務",$E35)),ISNUMBER(SEARCH("工場長",$E35)),ISNUMBER(SEARCH("社長",$E35)),ISNUMBER(SEARCH("出演",$E35)))),"◆","")</f>
        <v/>
      </c>
      <c r="CE35" s="55" t="str">
        <f aca="false">IF(AND(CE$7=$I35,OR(ISNUMBER(SEARCH("採用",$E35)),ISNUMBER(SEARCH("総務",$E35)),ISNUMBER(SEARCH("工場長",$E35)),ISNUMBER(SEARCH("社長",$E35)),ISNUMBER(SEARCH("出演",$E35)))),"◆","")</f>
        <v/>
      </c>
      <c r="CF35" s="55" t="str">
        <f aca="false">IF(AND(CF$7=$I35,OR(ISNUMBER(SEARCH("採用",$E35)),ISNUMBER(SEARCH("総務",$E35)),ISNUMBER(SEARCH("工場長",$E35)),ISNUMBER(SEARCH("社長",$E35)),ISNUMBER(SEARCH("出演",$E35)))),"◆","")</f>
        <v/>
      </c>
      <c r="CG35" s="55" t="str">
        <f aca="false">IF(AND(CG$7=$I35,OR(ISNUMBER(SEARCH("採用",$E35)),ISNUMBER(SEARCH("総務",$E35)),ISNUMBER(SEARCH("工場長",$E35)),ISNUMBER(SEARCH("社長",$E35)),ISNUMBER(SEARCH("出演",$E35)))),"◆","")</f>
        <v/>
      </c>
      <c r="CH35" s="55" t="str">
        <f aca="false">IF(AND(CH$7=$I35,OR(ISNUMBER(SEARCH("採用",$E35)),ISNUMBER(SEARCH("総務",$E35)),ISNUMBER(SEARCH("工場長",$E35)),ISNUMBER(SEARCH("社長",$E35)),ISNUMBER(SEARCH("出演",$E35)))),"◆","")</f>
        <v/>
      </c>
      <c r="CI35" s="55" t="str">
        <f aca="false">IF(AND(CI$7=$I35,OR(ISNUMBER(SEARCH("採用",$E35)),ISNUMBER(SEARCH("総務",$E35)),ISNUMBER(SEARCH("工場長",$E35)),ISNUMBER(SEARCH("社長",$E35)),ISNUMBER(SEARCH("出演",$E35)))),"◆","")</f>
        <v/>
      </c>
      <c r="CJ35" s="55" t="str">
        <f aca="false">IF(AND(CJ$7=$I35,OR(ISNUMBER(SEARCH("採用",$E35)),ISNUMBER(SEARCH("総務",$E35)),ISNUMBER(SEARCH("工場長",$E35)),ISNUMBER(SEARCH("社長",$E35)),ISNUMBER(SEARCH("出演",$E35)))),"◆","")</f>
        <v/>
      </c>
      <c r="CK35" s="55" t="str">
        <f aca="false">IF(AND(CK$7=$I35,OR(ISNUMBER(SEARCH("採用",$E35)),ISNUMBER(SEARCH("総務",$E35)),ISNUMBER(SEARCH("工場長",$E35)),ISNUMBER(SEARCH("社長",$E35)),ISNUMBER(SEARCH("出演",$E35)))),"◆","")</f>
        <v/>
      </c>
      <c r="CL35" s="55" t="str">
        <f aca="false">IF(AND(CL$7=$I35,OR(ISNUMBER(SEARCH("採用",$E35)),ISNUMBER(SEARCH("総務",$E35)),ISNUMBER(SEARCH("工場長",$E35)),ISNUMBER(SEARCH("社長",$E35)),ISNUMBER(SEARCH("出演",$E35)))),"◆","")</f>
        <v/>
      </c>
      <c r="CM35" s="55" t="str">
        <f aca="false">IF(AND(CM$7=$I35,OR(ISNUMBER(SEARCH("採用",$E35)),ISNUMBER(SEARCH("総務",$E35)),ISNUMBER(SEARCH("工場長",$E35)),ISNUMBER(SEARCH("社長",$E35)),ISNUMBER(SEARCH("出演",$E35)))),"◆","")</f>
        <v/>
      </c>
      <c r="CN35" s="55" t="str">
        <f aca="false">IF(AND(CN$7=$I35,OR(ISNUMBER(SEARCH("採用",$E35)),ISNUMBER(SEARCH("総務",$E35)),ISNUMBER(SEARCH("工場長",$E35)),ISNUMBER(SEARCH("社長",$E35)),ISNUMBER(SEARCH("出演",$E35)))),"◆","")</f>
        <v/>
      </c>
      <c r="CO35" s="55" t="str">
        <f aca="false">IF(AND(CO$7=$I35,OR(ISNUMBER(SEARCH("採用",$E35)),ISNUMBER(SEARCH("総務",$E35)),ISNUMBER(SEARCH("工場長",$E35)),ISNUMBER(SEARCH("社長",$E35)),ISNUMBER(SEARCH("出演",$E35)))),"◆","")</f>
        <v/>
      </c>
      <c r="CP35" s="55" t="str">
        <f aca="false">IF(AND(CP$7=$I35,OR(ISNUMBER(SEARCH("採用",$E35)),ISNUMBER(SEARCH("総務",$E35)),ISNUMBER(SEARCH("工場長",$E35)),ISNUMBER(SEARCH("社長",$E35)),ISNUMBER(SEARCH("出演",$E35)))),"◆","")</f>
        <v/>
      </c>
    </row>
    <row r="36" customFormat="false" ht="25.5" hidden="false" customHeight="true" outlineLevel="0" collapsed="false">
      <c r="A36" s="48" t="str">
        <f aca="false">制作工程表!A29</f>
        <v>T21</v>
      </c>
      <c r="B36" s="49" t="str">
        <f aca="false">制作工程表!B29</f>
        <v>公開</v>
      </c>
      <c r="C36" s="50" t="str">
        <f aca="false">制作工程表!C29</f>
        <v>公開・公開直後の確認</v>
      </c>
      <c r="D36" s="51" t="str">
        <f aca="false">制作工程表!D29</f>
        <v>実装担当</v>
      </c>
      <c r="E36" s="51" t="str">
        <f aca="false">制作工程表!E29</f>
        <v>採用担当</v>
      </c>
      <c r="F36" s="52" t="str">
        <f aca="false">IF(制作工程表!B29="取材撮影","撮影",IF(OR(制作工程表!D29="採用担当",制作工程表!D29="総務窓口",制作工程表!D29="工場長"),"企業","制作"))</f>
        <v>制作</v>
      </c>
      <c r="G36" s="53" t="n">
        <f aca="false">制作工程表!G29</f>
        <v>46379</v>
      </c>
      <c r="H36" s="53" t="n">
        <f aca="false">制作工程表!H29</f>
        <v>46379</v>
      </c>
      <c r="I36" s="54" t="str">
        <f aca="false">制作工程表!I29</f>
        <v>—</v>
      </c>
      <c r="J36" s="49" t="str">
        <f aca="false">制作工程表!K29</f>
        <v>未着手</v>
      </c>
      <c r="K36" s="55" t="str">
        <f aca="false">IF(AND(K$7=$I36,OR(ISNUMBER(SEARCH("採用",$E36)),ISNUMBER(SEARCH("総務",$E36)),ISNUMBER(SEARCH("工場長",$E36)),ISNUMBER(SEARCH("社長",$E36)),ISNUMBER(SEARCH("出演",$E36)))),"◆","")</f>
        <v/>
      </c>
      <c r="L36" s="55" t="str">
        <f aca="false">IF(AND(L$7=$I36,OR(ISNUMBER(SEARCH("採用",$E36)),ISNUMBER(SEARCH("総務",$E36)),ISNUMBER(SEARCH("工場長",$E36)),ISNUMBER(SEARCH("社長",$E36)),ISNUMBER(SEARCH("出演",$E36)))),"◆","")</f>
        <v/>
      </c>
      <c r="M36" s="55" t="str">
        <f aca="false">IF(AND(M$7=$I36,OR(ISNUMBER(SEARCH("採用",$E36)),ISNUMBER(SEARCH("総務",$E36)),ISNUMBER(SEARCH("工場長",$E36)),ISNUMBER(SEARCH("社長",$E36)),ISNUMBER(SEARCH("出演",$E36)))),"◆","")</f>
        <v/>
      </c>
      <c r="N36" s="55" t="str">
        <f aca="false">IF(AND(N$7=$I36,OR(ISNUMBER(SEARCH("採用",$E36)),ISNUMBER(SEARCH("総務",$E36)),ISNUMBER(SEARCH("工場長",$E36)),ISNUMBER(SEARCH("社長",$E36)),ISNUMBER(SEARCH("出演",$E36)))),"◆","")</f>
        <v/>
      </c>
      <c r="O36" s="55" t="str">
        <f aca="false">IF(AND(O$7=$I36,OR(ISNUMBER(SEARCH("採用",$E36)),ISNUMBER(SEARCH("総務",$E36)),ISNUMBER(SEARCH("工場長",$E36)),ISNUMBER(SEARCH("社長",$E36)),ISNUMBER(SEARCH("出演",$E36)))),"◆","")</f>
        <v/>
      </c>
      <c r="P36" s="55" t="str">
        <f aca="false">IF(AND(P$7=$I36,OR(ISNUMBER(SEARCH("採用",$E36)),ISNUMBER(SEARCH("総務",$E36)),ISNUMBER(SEARCH("工場長",$E36)),ISNUMBER(SEARCH("社長",$E36)),ISNUMBER(SEARCH("出演",$E36)))),"◆","")</f>
        <v/>
      </c>
      <c r="Q36" s="55" t="str">
        <f aca="false">IF(AND(Q$7=$I36,OR(ISNUMBER(SEARCH("採用",$E36)),ISNUMBER(SEARCH("総務",$E36)),ISNUMBER(SEARCH("工場長",$E36)),ISNUMBER(SEARCH("社長",$E36)),ISNUMBER(SEARCH("出演",$E36)))),"◆","")</f>
        <v/>
      </c>
      <c r="R36" s="55" t="str">
        <f aca="false">IF(AND(R$7=$I36,OR(ISNUMBER(SEARCH("採用",$E36)),ISNUMBER(SEARCH("総務",$E36)),ISNUMBER(SEARCH("工場長",$E36)),ISNUMBER(SEARCH("社長",$E36)),ISNUMBER(SEARCH("出演",$E36)))),"◆","")</f>
        <v/>
      </c>
      <c r="S36" s="55" t="str">
        <f aca="false">IF(AND(S$7=$I36,OR(ISNUMBER(SEARCH("採用",$E36)),ISNUMBER(SEARCH("総務",$E36)),ISNUMBER(SEARCH("工場長",$E36)),ISNUMBER(SEARCH("社長",$E36)),ISNUMBER(SEARCH("出演",$E36)))),"◆","")</f>
        <v/>
      </c>
      <c r="T36" s="55" t="str">
        <f aca="false">IF(AND(T$7=$I36,OR(ISNUMBER(SEARCH("採用",$E36)),ISNUMBER(SEARCH("総務",$E36)),ISNUMBER(SEARCH("工場長",$E36)),ISNUMBER(SEARCH("社長",$E36)),ISNUMBER(SEARCH("出演",$E36)))),"◆","")</f>
        <v/>
      </c>
      <c r="U36" s="55" t="str">
        <f aca="false">IF(AND(U$7=$I36,OR(ISNUMBER(SEARCH("採用",$E36)),ISNUMBER(SEARCH("総務",$E36)),ISNUMBER(SEARCH("工場長",$E36)),ISNUMBER(SEARCH("社長",$E36)),ISNUMBER(SEARCH("出演",$E36)))),"◆","")</f>
        <v/>
      </c>
      <c r="V36" s="55" t="str">
        <f aca="false">IF(AND(V$7=$I36,OR(ISNUMBER(SEARCH("採用",$E36)),ISNUMBER(SEARCH("総務",$E36)),ISNUMBER(SEARCH("工場長",$E36)),ISNUMBER(SEARCH("社長",$E36)),ISNUMBER(SEARCH("出演",$E36)))),"◆","")</f>
        <v/>
      </c>
      <c r="W36" s="55" t="str">
        <f aca="false">IF(AND(W$7=$I36,OR(ISNUMBER(SEARCH("採用",$E36)),ISNUMBER(SEARCH("総務",$E36)),ISNUMBER(SEARCH("工場長",$E36)),ISNUMBER(SEARCH("社長",$E36)),ISNUMBER(SEARCH("出演",$E36)))),"◆","")</f>
        <v/>
      </c>
      <c r="X36" s="55" t="str">
        <f aca="false">IF(AND(X$7=$I36,OR(ISNUMBER(SEARCH("採用",$E36)),ISNUMBER(SEARCH("総務",$E36)),ISNUMBER(SEARCH("工場長",$E36)),ISNUMBER(SEARCH("社長",$E36)),ISNUMBER(SEARCH("出演",$E36)))),"◆","")</f>
        <v/>
      </c>
      <c r="Y36" s="55" t="str">
        <f aca="false">IF(AND(Y$7=$I36,OR(ISNUMBER(SEARCH("採用",$E36)),ISNUMBER(SEARCH("総務",$E36)),ISNUMBER(SEARCH("工場長",$E36)),ISNUMBER(SEARCH("社長",$E36)),ISNUMBER(SEARCH("出演",$E36)))),"◆","")</f>
        <v/>
      </c>
      <c r="Z36" s="55" t="str">
        <f aca="false">IF(AND(Z$7=$I36,OR(ISNUMBER(SEARCH("採用",$E36)),ISNUMBER(SEARCH("総務",$E36)),ISNUMBER(SEARCH("工場長",$E36)),ISNUMBER(SEARCH("社長",$E36)),ISNUMBER(SEARCH("出演",$E36)))),"◆","")</f>
        <v/>
      </c>
      <c r="AA36" s="55" t="str">
        <f aca="false">IF(AND(AA$7=$I36,OR(ISNUMBER(SEARCH("採用",$E36)),ISNUMBER(SEARCH("総務",$E36)),ISNUMBER(SEARCH("工場長",$E36)),ISNUMBER(SEARCH("社長",$E36)),ISNUMBER(SEARCH("出演",$E36)))),"◆","")</f>
        <v/>
      </c>
      <c r="AB36" s="55" t="str">
        <f aca="false">IF(AND(AB$7=$I36,OR(ISNUMBER(SEARCH("採用",$E36)),ISNUMBER(SEARCH("総務",$E36)),ISNUMBER(SEARCH("工場長",$E36)),ISNUMBER(SEARCH("社長",$E36)),ISNUMBER(SEARCH("出演",$E36)))),"◆","")</f>
        <v/>
      </c>
      <c r="AC36" s="55" t="str">
        <f aca="false">IF(AND(AC$7=$I36,OR(ISNUMBER(SEARCH("採用",$E36)),ISNUMBER(SEARCH("総務",$E36)),ISNUMBER(SEARCH("工場長",$E36)),ISNUMBER(SEARCH("社長",$E36)),ISNUMBER(SEARCH("出演",$E36)))),"◆","")</f>
        <v/>
      </c>
      <c r="AD36" s="55" t="str">
        <f aca="false">IF(AND(AD$7=$I36,OR(ISNUMBER(SEARCH("採用",$E36)),ISNUMBER(SEARCH("総務",$E36)),ISNUMBER(SEARCH("工場長",$E36)),ISNUMBER(SEARCH("社長",$E36)),ISNUMBER(SEARCH("出演",$E36)))),"◆","")</f>
        <v/>
      </c>
      <c r="AE36" s="55" t="str">
        <f aca="false">IF(AND(AE$7=$I36,OR(ISNUMBER(SEARCH("採用",$E36)),ISNUMBER(SEARCH("総務",$E36)),ISNUMBER(SEARCH("工場長",$E36)),ISNUMBER(SEARCH("社長",$E36)),ISNUMBER(SEARCH("出演",$E36)))),"◆","")</f>
        <v/>
      </c>
      <c r="AF36" s="55" t="str">
        <f aca="false">IF(AND(AF$7=$I36,OR(ISNUMBER(SEARCH("採用",$E36)),ISNUMBER(SEARCH("総務",$E36)),ISNUMBER(SEARCH("工場長",$E36)),ISNUMBER(SEARCH("社長",$E36)),ISNUMBER(SEARCH("出演",$E36)))),"◆","")</f>
        <v/>
      </c>
      <c r="AG36" s="55" t="str">
        <f aca="false">IF(AND(AG$7=$I36,OR(ISNUMBER(SEARCH("採用",$E36)),ISNUMBER(SEARCH("総務",$E36)),ISNUMBER(SEARCH("工場長",$E36)),ISNUMBER(SEARCH("社長",$E36)),ISNUMBER(SEARCH("出演",$E36)))),"◆","")</f>
        <v/>
      </c>
      <c r="AH36" s="55" t="str">
        <f aca="false">IF(AND(AH$7=$I36,OR(ISNUMBER(SEARCH("採用",$E36)),ISNUMBER(SEARCH("総務",$E36)),ISNUMBER(SEARCH("工場長",$E36)),ISNUMBER(SEARCH("社長",$E36)),ISNUMBER(SEARCH("出演",$E36)))),"◆","")</f>
        <v/>
      </c>
      <c r="AI36" s="55" t="str">
        <f aca="false">IF(AND(AI$7=$I36,OR(ISNUMBER(SEARCH("採用",$E36)),ISNUMBER(SEARCH("総務",$E36)),ISNUMBER(SEARCH("工場長",$E36)),ISNUMBER(SEARCH("社長",$E36)),ISNUMBER(SEARCH("出演",$E36)))),"◆","")</f>
        <v/>
      </c>
      <c r="AJ36" s="55" t="str">
        <f aca="false">IF(AND(AJ$7=$I36,OR(ISNUMBER(SEARCH("採用",$E36)),ISNUMBER(SEARCH("総務",$E36)),ISNUMBER(SEARCH("工場長",$E36)),ISNUMBER(SEARCH("社長",$E36)),ISNUMBER(SEARCH("出演",$E36)))),"◆","")</f>
        <v/>
      </c>
      <c r="AK36" s="55" t="str">
        <f aca="false">IF(AND(AK$7=$I36,OR(ISNUMBER(SEARCH("採用",$E36)),ISNUMBER(SEARCH("総務",$E36)),ISNUMBER(SEARCH("工場長",$E36)),ISNUMBER(SEARCH("社長",$E36)),ISNUMBER(SEARCH("出演",$E36)))),"◆","")</f>
        <v/>
      </c>
      <c r="AL36" s="55" t="str">
        <f aca="false">IF(AND(AL$7=$I36,OR(ISNUMBER(SEARCH("採用",$E36)),ISNUMBER(SEARCH("総務",$E36)),ISNUMBER(SEARCH("工場長",$E36)),ISNUMBER(SEARCH("社長",$E36)),ISNUMBER(SEARCH("出演",$E36)))),"◆","")</f>
        <v/>
      </c>
      <c r="AM36" s="55" t="str">
        <f aca="false">IF(AND(AM$7=$I36,OR(ISNUMBER(SEARCH("採用",$E36)),ISNUMBER(SEARCH("総務",$E36)),ISNUMBER(SEARCH("工場長",$E36)),ISNUMBER(SEARCH("社長",$E36)),ISNUMBER(SEARCH("出演",$E36)))),"◆","")</f>
        <v/>
      </c>
      <c r="AN36" s="55" t="str">
        <f aca="false">IF(AND(AN$7=$I36,OR(ISNUMBER(SEARCH("採用",$E36)),ISNUMBER(SEARCH("総務",$E36)),ISNUMBER(SEARCH("工場長",$E36)),ISNUMBER(SEARCH("社長",$E36)),ISNUMBER(SEARCH("出演",$E36)))),"◆","")</f>
        <v/>
      </c>
      <c r="AO36" s="55" t="str">
        <f aca="false">IF(AND(AO$7=$I36,OR(ISNUMBER(SEARCH("採用",$E36)),ISNUMBER(SEARCH("総務",$E36)),ISNUMBER(SEARCH("工場長",$E36)),ISNUMBER(SEARCH("社長",$E36)),ISNUMBER(SEARCH("出演",$E36)))),"◆","")</f>
        <v/>
      </c>
      <c r="AP36" s="55" t="str">
        <f aca="false">IF(AND(AP$7=$I36,OR(ISNUMBER(SEARCH("採用",$E36)),ISNUMBER(SEARCH("総務",$E36)),ISNUMBER(SEARCH("工場長",$E36)),ISNUMBER(SEARCH("社長",$E36)),ISNUMBER(SEARCH("出演",$E36)))),"◆","")</f>
        <v/>
      </c>
      <c r="AQ36" s="55" t="str">
        <f aca="false">IF(AND(AQ$7=$I36,OR(ISNUMBER(SEARCH("採用",$E36)),ISNUMBER(SEARCH("総務",$E36)),ISNUMBER(SEARCH("工場長",$E36)),ISNUMBER(SEARCH("社長",$E36)),ISNUMBER(SEARCH("出演",$E36)))),"◆","")</f>
        <v/>
      </c>
      <c r="AR36" s="55" t="str">
        <f aca="false">IF(AND(AR$7=$I36,OR(ISNUMBER(SEARCH("採用",$E36)),ISNUMBER(SEARCH("総務",$E36)),ISNUMBER(SEARCH("工場長",$E36)),ISNUMBER(SEARCH("社長",$E36)),ISNUMBER(SEARCH("出演",$E36)))),"◆","")</f>
        <v/>
      </c>
      <c r="AS36" s="55" t="str">
        <f aca="false">IF(AND(AS$7=$I36,OR(ISNUMBER(SEARCH("採用",$E36)),ISNUMBER(SEARCH("総務",$E36)),ISNUMBER(SEARCH("工場長",$E36)),ISNUMBER(SEARCH("社長",$E36)),ISNUMBER(SEARCH("出演",$E36)))),"◆","")</f>
        <v/>
      </c>
      <c r="AT36" s="55" t="str">
        <f aca="false">IF(AND(AT$7=$I36,OR(ISNUMBER(SEARCH("採用",$E36)),ISNUMBER(SEARCH("総務",$E36)),ISNUMBER(SEARCH("工場長",$E36)),ISNUMBER(SEARCH("社長",$E36)),ISNUMBER(SEARCH("出演",$E36)))),"◆","")</f>
        <v/>
      </c>
      <c r="AU36" s="55" t="str">
        <f aca="false">IF(AND(AU$7=$I36,OR(ISNUMBER(SEARCH("採用",$E36)),ISNUMBER(SEARCH("総務",$E36)),ISNUMBER(SEARCH("工場長",$E36)),ISNUMBER(SEARCH("社長",$E36)),ISNUMBER(SEARCH("出演",$E36)))),"◆","")</f>
        <v/>
      </c>
      <c r="AV36" s="55" t="str">
        <f aca="false">IF(AND(AV$7=$I36,OR(ISNUMBER(SEARCH("採用",$E36)),ISNUMBER(SEARCH("総務",$E36)),ISNUMBER(SEARCH("工場長",$E36)),ISNUMBER(SEARCH("社長",$E36)),ISNUMBER(SEARCH("出演",$E36)))),"◆","")</f>
        <v/>
      </c>
      <c r="AW36" s="55" t="str">
        <f aca="false">IF(AND(AW$7=$I36,OR(ISNUMBER(SEARCH("採用",$E36)),ISNUMBER(SEARCH("総務",$E36)),ISNUMBER(SEARCH("工場長",$E36)),ISNUMBER(SEARCH("社長",$E36)),ISNUMBER(SEARCH("出演",$E36)))),"◆","")</f>
        <v/>
      </c>
      <c r="AX36" s="55" t="str">
        <f aca="false">IF(AND(AX$7=$I36,OR(ISNUMBER(SEARCH("採用",$E36)),ISNUMBER(SEARCH("総務",$E36)),ISNUMBER(SEARCH("工場長",$E36)),ISNUMBER(SEARCH("社長",$E36)),ISNUMBER(SEARCH("出演",$E36)))),"◆","")</f>
        <v/>
      </c>
      <c r="AY36" s="55" t="str">
        <f aca="false">IF(AND(AY$7=$I36,OR(ISNUMBER(SEARCH("採用",$E36)),ISNUMBER(SEARCH("総務",$E36)),ISNUMBER(SEARCH("工場長",$E36)),ISNUMBER(SEARCH("社長",$E36)),ISNUMBER(SEARCH("出演",$E36)))),"◆","")</f>
        <v/>
      </c>
      <c r="AZ36" s="55" t="str">
        <f aca="false">IF(AND(AZ$7=$I36,OR(ISNUMBER(SEARCH("採用",$E36)),ISNUMBER(SEARCH("総務",$E36)),ISNUMBER(SEARCH("工場長",$E36)),ISNUMBER(SEARCH("社長",$E36)),ISNUMBER(SEARCH("出演",$E36)))),"◆","")</f>
        <v/>
      </c>
      <c r="BA36" s="55" t="str">
        <f aca="false">IF(AND(BA$7=$I36,OR(ISNUMBER(SEARCH("採用",$E36)),ISNUMBER(SEARCH("総務",$E36)),ISNUMBER(SEARCH("工場長",$E36)),ISNUMBER(SEARCH("社長",$E36)),ISNUMBER(SEARCH("出演",$E36)))),"◆","")</f>
        <v/>
      </c>
      <c r="BB36" s="55" t="str">
        <f aca="false">IF(AND(BB$7=$I36,OR(ISNUMBER(SEARCH("採用",$E36)),ISNUMBER(SEARCH("総務",$E36)),ISNUMBER(SEARCH("工場長",$E36)),ISNUMBER(SEARCH("社長",$E36)),ISNUMBER(SEARCH("出演",$E36)))),"◆","")</f>
        <v/>
      </c>
      <c r="BC36" s="55" t="str">
        <f aca="false">IF(AND(BC$7=$I36,OR(ISNUMBER(SEARCH("採用",$E36)),ISNUMBER(SEARCH("総務",$E36)),ISNUMBER(SEARCH("工場長",$E36)),ISNUMBER(SEARCH("社長",$E36)),ISNUMBER(SEARCH("出演",$E36)))),"◆","")</f>
        <v/>
      </c>
      <c r="BD36" s="55" t="str">
        <f aca="false">IF(AND(BD$7=$I36,OR(ISNUMBER(SEARCH("採用",$E36)),ISNUMBER(SEARCH("総務",$E36)),ISNUMBER(SEARCH("工場長",$E36)),ISNUMBER(SEARCH("社長",$E36)),ISNUMBER(SEARCH("出演",$E36)))),"◆","")</f>
        <v/>
      </c>
      <c r="BE36" s="55" t="str">
        <f aca="false">IF(AND(BE$7=$I36,OR(ISNUMBER(SEARCH("採用",$E36)),ISNUMBER(SEARCH("総務",$E36)),ISNUMBER(SEARCH("工場長",$E36)),ISNUMBER(SEARCH("社長",$E36)),ISNUMBER(SEARCH("出演",$E36)))),"◆","")</f>
        <v/>
      </c>
      <c r="BF36" s="55" t="str">
        <f aca="false">IF(AND(BF$7=$I36,OR(ISNUMBER(SEARCH("採用",$E36)),ISNUMBER(SEARCH("総務",$E36)),ISNUMBER(SEARCH("工場長",$E36)),ISNUMBER(SEARCH("社長",$E36)),ISNUMBER(SEARCH("出演",$E36)))),"◆","")</f>
        <v/>
      </c>
      <c r="BG36" s="55" t="str">
        <f aca="false">IF(AND(BG$7=$I36,OR(ISNUMBER(SEARCH("採用",$E36)),ISNUMBER(SEARCH("総務",$E36)),ISNUMBER(SEARCH("工場長",$E36)),ISNUMBER(SEARCH("社長",$E36)),ISNUMBER(SEARCH("出演",$E36)))),"◆","")</f>
        <v/>
      </c>
      <c r="BH36" s="55" t="str">
        <f aca="false">IF(AND(BH$7=$I36,OR(ISNUMBER(SEARCH("採用",$E36)),ISNUMBER(SEARCH("総務",$E36)),ISNUMBER(SEARCH("工場長",$E36)),ISNUMBER(SEARCH("社長",$E36)),ISNUMBER(SEARCH("出演",$E36)))),"◆","")</f>
        <v/>
      </c>
      <c r="BI36" s="55" t="str">
        <f aca="false">IF(AND(BI$7=$I36,OR(ISNUMBER(SEARCH("採用",$E36)),ISNUMBER(SEARCH("総務",$E36)),ISNUMBER(SEARCH("工場長",$E36)),ISNUMBER(SEARCH("社長",$E36)),ISNUMBER(SEARCH("出演",$E36)))),"◆","")</f>
        <v/>
      </c>
      <c r="BJ36" s="55" t="str">
        <f aca="false">IF(AND(BJ$7=$I36,OR(ISNUMBER(SEARCH("採用",$E36)),ISNUMBER(SEARCH("総務",$E36)),ISNUMBER(SEARCH("工場長",$E36)),ISNUMBER(SEARCH("社長",$E36)),ISNUMBER(SEARCH("出演",$E36)))),"◆","")</f>
        <v/>
      </c>
      <c r="BK36" s="55" t="str">
        <f aca="false">IF(AND(BK$7=$I36,OR(ISNUMBER(SEARCH("採用",$E36)),ISNUMBER(SEARCH("総務",$E36)),ISNUMBER(SEARCH("工場長",$E36)),ISNUMBER(SEARCH("社長",$E36)),ISNUMBER(SEARCH("出演",$E36)))),"◆","")</f>
        <v/>
      </c>
      <c r="BL36" s="55" t="str">
        <f aca="false">IF(AND(BL$7=$I36,OR(ISNUMBER(SEARCH("採用",$E36)),ISNUMBER(SEARCH("総務",$E36)),ISNUMBER(SEARCH("工場長",$E36)),ISNUMBER(SEARCH("社長",$E36)),ISNUMBER(SEARCH("出演",$E36)))),"◆","")</f>
        <v/>
      </c>
      <c r="BM36" s="55" t="str">
        <f aca="false">IF(AND(BM$7=$I36,OR(ISNUMBER(SEARCH("採用",$E36)),ISNUMBER(SEARCH("総務",$E36)),ISNUMBER(SEARCH("工場長",$E36)),ISNUMBER(SEARCH("社長",$E36)),ISNUMBER(SEARCH("出演",$E36)))),"◆","")</f>
        <v/>
      </c>
      <c r="BN36" s="55" t="str">
        <f aca="false">IF(AND(BN$7=$I36,OR(ISNUMBER(SEARCH("採用",$E36)),ISNUMBER(SEARCH("総務",$E36)),ISNUMBER(SEARCH("工場長",$E36)),ISNUMBER(SEARCH("社長",$E36)),ISNUMBER(SEARCH("出演",$E36)))),"◆","")</f>
        <v/>
      </c>
      <c r="BO36" s="55" t="str">
        <f aca="false">IF(AND(BO$7=$I36,OR(ISNUMBER(SEARCH("採用",$E36)),ISNUMBER(SEARCH("総務",$E36)),ISNUMBER(SEARCH("工場長",$E36)),ISNUMBER(SEARCH("社長",$E36)),ISNUMBER(SEARCH("出演",$E36)))),"◆","")</f>
        <v/>
      </c>
      <c r="BP36" s="55" t="str">
        <f aca="false">IF(AND(BP$7=$I36,OR(ISNUMBER(SEARCH("採用",$E36)),ISNUMBER(SEARCH("総務",$E36)),ISNUMBER(SEARCH("工場長",$E36)),ISNUMBER(SEARCH("社長",$E36)),ISNUMBER(SEARCH("出演",$E36)))),"◆","")</f>
        <v/>
      </c>
      <c r="BQ36" s="55" t="str">
        <f aca="false">IF(AND(BQ$7=$I36,OR(ISNUMBER(SEARCH("採用",$E36)),ISNUMBER(SEARCH("総務",$E36)),ISNUMBER(SEARCH("工場長",$E36)),ISNUMBER(SEARCH("社長",$E36)),ISNUMBER(SEARCH("出演",$E36)))),"◆","")</f>
        <v/>
      </c>
      <c r="BR36" s="55" t="str">
        <f aca="false">IF(AND(BR$7=$I36,OR(ISNUMBER(SEARCH("採用",$E36)),ISNUMBER(SEARCH("総務",$E36)),ISNUMBER(SEARCH("工場長",$E36)),ISNUMBER(SEARCH("社長",$E36)),ISNUMBER(SEARCH("出演",$E36)))),"◆","")</f>
        <v/>
      </c>
      <c r="BS36" s="55" t="str">
        <f aca="false">IF(AND(BS$7=$I36,OR(ISNUMBER(SEARCH("採用",$E36)),ISNUMBER(SEARCH("総務",$E36)),ISNUMBER(SEARCH("工場長",$E36)),ISNUMBER(SEARCH("社長",$E36)),ISNUMBER(SEARCH("出演",$E36)))),"◆","")</f>
        <v/>
      </c>
      <c r="BT36" s="55" t="str">
        <f aca="false">IF(AND(BT$7=$I36,OR(ISNUMBER(SEARCH("採用",$E36)),ISNUMBER(SEARCH("総務",$E36)),ISNUMBER(SEARCH("工場長",$E36)),ISNUMBER(SEARCH("社長",$E36)),ISNUMBER(SEARCH("出演",$E36)))),"◆","")</f>
        <v/>
      </c>
      <c r="BU36" s="55" t="str">
        <f aca="false">IF(AND(BU$7=$I36,OR(ISNUMBER(SEARCH("採用",$E36)),ISNUMBER(SEARCH("総務",$E36)),ISNUMBER(SEARCH("工場長",$E36)),ISNUMBER(SEARCH("社長",$E36)),ISNUMBER(SEARCH("出演",$E36)))),"◆","")</f>
        <v/>
      </c>
      <c r="BV36" s="55" t="str">
        <f aca="false">IF(AND(BV$7=$I36,OR(ISNUMBER(SEARCH("採用",$E36)),ISNUMBER(SEARCH("総務",$E36)),ISNUMBER(SEARCH("工場長",$E36)),ISNUMBER(SEARCH("社長",$E36)),ISNUMBER(SEARCH("出演",$E36)))),"◆","")</f>
        <v/>
      </c>
      <c r="BW36" s="55" t="str">
        <f aca="false">IF(AND(BW$7=$I36,OR(ISNUMBER(SEARCH("採用",$E36)),ISNUMBER(SEARCH("総務",$E36)),ISNUMBER(SEARCH("工場長",$E36)),ISNUMBER(SEARCH("社長",$E36)),ISNUMBER(SEARCH("出演",$E36)))),"◆","")</f>
        <v/>
      </c>
      <c r="BX36" s="55" t="str">
        <f aca="false">IF(AND(BX$7=$I36,OR(ISNUMBER(SEARCH("採用",$E36)),ISNUMBER(SEARCH("総務",$E36)),ISNUMBER(SEARCH("工場長",$E36)),ISNUMBER(SEARCH("社長",$E36)),ISNUMBER(SEARCH("出演",$E36)))),"◆","")</f>
        <v/>
      </c>
      <c r="BY36" s="55" t="str">
        <f aca="false">IF(AND(BY$7=$I36,OR(ISNUMBER(SEARCH("採用",$E36)),ISNUMBER(SEARCH("総務",$E36)),ISNUMBER(SEARCH("工場長",$E36)),ISNUMBER(SEARCH("社長",$E36)),ISNUMBER(SEARCH("出演",$E36)))),"◆","")</f>
        <v/>
      </c>
      <c r="BZ36" s="55" t="str">
        <f aca="false">IF(AND(BZ$7=$I36,OR(ISNUMBER(SEARCH("採用",$E36)),ISNUMBER(SEARCH("総務",$E36)),ISNUMBER(SEARCH("工場長",$E36)),ISNUMBER(SEARCH("社長",$E36)),ISNUMBER(SEARCH("出演",$E36)))),"◆","")</f>
        <v/>
      </c>
      <c r="CA36" s="55" t="str">
        <f aca="false">IF(AND(CA$7=$I36,OR(ISNUMBER(SEARCH("採用",$E36)),ISNUMBER(SEARCH("総務",$E36)),ISNUMBER(SEARCH("工場長",$E36)),ISNUMBER(SEARCH("社長",$E36)),ISNUMBER(SEARCH("出演",$E36)))),"◆","")</f>
        <v/>
      </c>
      <c r="CB36" s="55" t="str">
        <f aca="false">IF(AND(CB$7=$I36,OR(ISNUMBER(SEARCH("採用",$E36)),ISNUMBER(SEARCH("総務",$E36)),ISNUMBER(SEARCH("工場長",$E36)),ISNUMBER(SEARCH("社長",$E36)),ISNUMBER(SEARCH("出演",$E36)))),"◆","")</f>
        <v/>
      </c>
      <c r="CC36" s="55" t="str">
        <f aca="false">IF(AND(CC$7=$I36,OR(ISNUMBER(SEARCH("採用",$E36)),ISNUMBER(SEARCH("総務",$E36)),ISNUMBER(SEARCH("工場長",$E36)),ISNUMBER(SEARCH("社長",$E36)),ISNUMBER(SEARCH("出演",$E36)))),"◆","")</f>
        <v/>
      </c>
      <c r="CD36" s="55" t="str">
        <f aca="false">IF(AND(CD$7=$I36,OR(ISNUMBER(SEARCH("採用",$E36)),ISNUMBER(SEARCH("総務",$E36)),ISNUMBER(SEARCH("工場長",$E36)),ISNUMBER(SEARCH("社長",$E36)),ISNUMBER(SEARCH("出演",$E36)))),"◆","")</f>
        <v/>
      </c>
      <c r="CE36" s="55" t="str">
        <f aca="false">IF(AND(CE$7=$I36,OR(ISNUMBER(SEARCH("採用",$E36)),ISNUMBER(SEARCH("総務",$E36)),ISNUMBER(SEARCH("工場長",$E36)),ISNUMBER(SEARCH("社長",$E36)),ISNUMBER(SEARCH("出演",$E36)))),"◆","")</f>
        <v/>
      </c>
      <c r="CF36" s="55" t="str">
        <f aca="false">IF(AND(CF$7=$I36,OR(ISNUMBER(SEARCH("採用",$E36)),ISNUMBER(SEARCH("総務",$E36)),ISNUMBER(SEARCH("工場長",$E36)),ISNUMBER(SEARCH("社長",$E36)),ISNUMBER(SEARCH("出演",$E36)))),"◆","")</f>
        <v/>
      </c>
      <c r="CG36" s="55" t="str">
        <f aca="false">IF(AND(CG$7=$I36,OR(ISNUMBER(SEARCH("採用",$E36)),ISNUMBER(SEARCH("総務",$E36)),ISNUMBER(SEARCH("工場長",$E36)),ISNUMBER(SEARCH("社長",$E36)),ISNUMBER(SEARCH("出演",$E36)))),"◆","")</f>
        <v/>
      </c>
      <c r="CH36" s="55" t="str">
        <f aca="false">IF(AND(CH$7=$I36,OR(ISNUMBER(SEARCH("採用",$E36)),ISNUMBER(SEARCH("総務",$E36)),ISNUMBER(SEARCH("工場長",$E36)),ISNUMBER(SEARCH("社長",$E36)),ISNUMBER(SEARCH("出演",$E36)))),"◆","")</f>
        <v/>
      </c>
      <c r="CI36" s="55" t="str">
        <f aca="false">IF(AND(CI$7=$I36,OR(ISNUMBER(SEARCH("採用",$E36)),ISNUMBER(SEARCH("総務",$E36)),ISNUMBER(SEARCH("工場長",$E36)),ISNUMBER(SEARCH("社長",$E36)),ISNUMBER(SEARCH("出演",$E36)))),"◆","")</f>
        <v/>
      </c>
      <c r="CJ36" s="55" t="str">
        <f aca="false">IF(AND(CJ$7=$I36,OR(ISNUMBER(SEARCH("採用",$E36)),ISNUMBER(SEARCH("総務",$E36)),ISNUMBER(SEARCH("工場長",$E36)),ISNUMBER(SEARCH("社長",$E36)),ISNUMBER(SEARCH("出演",$E36)))),"◆","")</f>
        <v/>
      </c>
      <c r="CK36" s="55" t="str">
        <f aca="false">IF(AND(CK$7=$I36,OR(ISNUMBER(SEARCH("採用",$E36)),ISNUMBER(SEARCH("総務",$E36)),ISNUMBER(SEARCH("工場長",$E36)),ISNUMBER(SEARCH("社長",$E36)),ISNUMBER(SEARCH("出演",$E36)))),"◆","")</f>
        <v/>
      </c>
      <c r="CL36" s="55" t="str">
        <f aca="false">IF(AND(CL$7=$I36,OR(ISNUMBER(SEARCH("採用",$E36)),ISNUMBER(SEARCH("総務",$E36)),ISNUMBER(SEARCH("工場長",$E36)),ISNUMBER(SEARCH("社長",$E36)),ISNUMBER(SEARCH("出演",$E36)))),"◆","")</f>
        <v/>
      </c>
      <c r="CM36" s="55" t="str">
        <f aca="false">IF(AND(CM$7=$I36,OR(ISNUMBER(SEARCH("採用",$E36)),ISNUMBER(SEARCH("総務",$E36)),ISNUMBER(SEARCH("工場長",$E36)),ISNUMBER(SEARCH("社長",$E36)),ISNUMBER(SEARCH("出演",$E36)))),"◆","")</f>
        <v/>
      </c>
      <c r="CN36" s="55" t="str">
        <f aca="false">IF(AND(CN$7=$I36,OR(ISNUMBER(SEARCH("採用",$E36)),ISNUMBER(SEARCH("総務",$E36)),ISNUMBER(SEARCH("工場長",$E36)),ISNUMBER(SEARCH("社長",$E36)),ISNUMBER(SEARCH("出演",$E36)))),"◆","")</f>
        <v/>
      </c>
      <c r="CO36" s="55" t="str">
        <f aca="false">IF(AND(CO$7=$I36,OR(ISNUMBER(SEARCH("採用",$E36)),ISNUMBER(SEARCH("総務",$E36)),ISNUMBER(SEARCH("工場長",$E36)),ISNUMBER(SEARCH("社長",$E36)),ISNUMBER(SEARCH("出演",$E36)))),"◆","")</f>
        <v/>
      </c>
      <c r="CP36" s="55" t="str">
        <f aca="false">IF(AND(CP$7=$I36,OR(ISNUMBER(SEARCH("採用",$E36)),ISNUMBER(SEARCH("総務",$E36)),ISNUMBER(SEARCH("工場長",$E36)),ISNUMBER(SEARCH("社長",$E36)),ISNUMBER(SEARCH("出演",$E36)))),"◆","")</f>
        <v/>
      </c>
    </row>
    <row r="38" customFormat="false" ht="15" hidden="false" customHeight="false" outlineLevel="0" collapsed="false">
      <c r="A38" s="56" t="s">
        <v>79</v>
      </c>
    </row>
    <row r="39" customFormat="false" ht="15" hidden="false" customHeight="false" outlineLevel="0" collapsed="false">
      <c r="A39" s="57" t="s">
        <v>80</v>
      </c>
    </row>
    <row r="40" customFormat="false" ht="15" hidden="false" customHeight="false" outlineLevel="0" collapsed="false">
      <c r="A40" s="57" t="s">
        <v>81</v>
      </c>
    </row>
    <row r="41" customFormat="false" ht="15" hidden="false" customHeight="false" outlineLevel="0" collapsed="false">
      <c r="A41" s="57" t="s">
        <v>82</v>
      </c>
    </row>
    <row r="42" customFormat="false" ht="15" hidden="false" customHeight="false" outlineLevel="0" collapsed="false">
      <c r="A42" s="57" t="s">
        <v>83</v>
      </c>
    </row>
  </sheetData>
  <mergeCells count="34">
    <mergeCell ref="A4:B4"/>
    <mergeCell ref="C4:D4"/>
    <mergeCell ref="E4:F4"/>
    <mergeCell ref="G4:H4"/>
    <mergeCell ref="I4:J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Q6"/>
    <mergeCell ref="R6:X6"/>
    <mergeCell ref="Y6:AE6"/>
    <mergeCell ref="AF6:AL6"/>
    <mergeCell ref="AM6:AS6"/>
    <mergeCell ref="AT6:AZ6"/>
    <mergeCell ref="BA6:BG6"/>
    <mergeCell ref="BH6:BN6"/>
    <mergeCell ref="BO6:BU6"/>
    <mergeCell ref="BV6:CB6"/>
    <mergeCell ref="CC6:CI6"/>
    <mergeCell ref="CJ6:CP6"/>
    <mergeCell ref="A9:J9"/>
    <mergeCell ref="A10:E10"/>
    <mergeCell ref="A15:E15"/>
    <mergeCell ref="A19:E19"/>
    <mergeCell ref="A22:E22"/>
    <mergeCell ref="A27:E27"/>
    <mergeCell ref="A31:E31"/>
  </mergeCells>
  <conditionalFormatting sqref="K10:CP36">
    <cfRule type="expression" priority="2" aboveAverage="0" equalAverage="0" bottom="0" percent="0" rank="0" text="" dxfId="0">
      <formula>AND(K$7=TODAY(),NOT(AND(K$7&gt;=$G10,K$7&lt;=$H10)))</formula>
    </cfRule>
    <cfRule type="expression" priority="3" aboveAverage="0" equalAverage="0" bottom="0" percent="0" rank="0" text="" dxfId="1">
      <formula>AND($F10="G",AND(K$7&gt;=$G10,K$7&lt;=$H10))</formula>
    </cfRule>
    <cfRule type="expression" priority="4" aboveAverage="0" equalAverage="0" bottom="0" percent="0" rank="0" text="" dxfId="2">
      <formula>AND($F10="撮影",AND(K$7&gt;=$G10,K$7&lt;=$H10))</formula>
    </cfRule>
    <cfRule type="expression" priority="5" aboveAverage="0" equalAverage="0" bottom="0" percent="0" rank="0" text="" dxfId="3">
      <formula>AND($F10="企業",AND(K$7&gt;=$G10,K$7&lt;=$H10))</formula>
    </cfRule>
    <cfRule type="expression" priority="6" aboveAverage="0" equalAverage="0" bottom="0" percent="0" rank="0" text="" dxfId="4">
      <formula>AND($F10="制作",AND(K$7&gt;=$G10,K$7&lt;=$H10))</formula>
    </cfRule>
    <cfRule type="expression" priority="7" aboveAverage="0" equalAverage="0" bottom="0" percent="0" rank="0" text="" dxfId="5">
      <formula>AND($F10&lt;&gt;"G",ISNUMBER($I10),K$7&gt;$H10,K$7&lt;=$I10)</formula>
    </cfRule>
    <cfRule type="expression" priority="8" aboveAverage="0" equalAverage="0" bottom="0" percent="0" rank="0" text="" dxfId="6">
      <formula>OR(WEEKDAY(K$7,2)&gt;5,COUNTIF(制作工程表!$Z$9:$Z$30,K$7)&gt;0)</formula>
    </cfRule>
  </conditionalFormatting>
  <conditionalFormatting sqref="K7:CP8">
    <cfRule type="expression" priority="9" aboveAverage="0" equalAverage="0" bottom="0" percent="0" rank="0" text="" dxfId="7">
      <formula>K$7=TODAY()</formula>
    </cfRule>
    <cfRule type="expression" priority="10" aboveAverage="0" equalAverage="0" bottom="0" percent="0" rank="0" text="" dxfId="8">
      <formula>WEEKDAY(K$7,2)&gt;5</formula>
    </cfRule>
  </conditionalFormatting>
  <conditionalFormatting sqref="J10:J36">
    <cfRule type="cellIs" priority="11" operator="equal" aboveAverage="0" equalAverage="0" bottom="0" percent="0" rank="0" text="" dxfId="9">
      <formula>"未着手"</formula>
    </cfRule>
    <cfRule type="cellIs" priority="12" operator="equal" aboveAverage="0" equalAverage="0" bottom="0" percent="0" rank="0" text="" dxfId="10">
      <formula>"進行中"</formula>
    </cfRule>
    <cfRule type="cellIs" priority="13" operator="equal" aboveAverage="0" equalAverage="0" bottom="0" percent="0" rank="0" text="" dxfId="11">
      <formula>"確認待ち"</formula>
    </cfRule>
    <cfRule type="cellIs" priority="14" operator="equal" aboveAverage="0" equalAverage="0" bottom="0" percent="0" rank="0" text="" dxfId="12">
      <formula>"完了"</formula>
    </cfRule>
    <cfRule type="cellIs" priority="15" operator="equal" aboveAverage="0" equalAverage="0" bottom="0" percent="0" rank="0" text="" dxfId="13">
      <formula>"要調整"</formula>
    </cfRule>
  </conditionalFormatting>
  <conditionalFormatting sqref="F10:F36">
    <cfRule type="cellIs" priority="16" operator="equal" aboveAverage="0" equalAverage="0" bottom="0" percent="0" rank="0" text="" dxfId="14">
      <formula>"企業"</formula>
    </cfRule>
    <cfRule type="cellIs" priority="17" operator="equal" aboveAverage="0" equalAverage="0" bottom="0" percent="0" rank="0" text="" dxfId="15">
      <formula>"撮影"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B3A"/>
    <pageSetUpPr fitToPage="true"/>
  </sheetPr>
  <dimension ref="A1:AA3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13"/>
    <col collapsed="false" customWidth="true" hidden="false" outlineLevel="0" max="2" min="2" style="0" width="19"/>
    <col collapsed="false" customWidth="true" hidden="false" outlineLevel="0" max="3" min="3" style="0" width="30"/>
    <col collapsed="false" customWidth="true" hidden="false" outlineLevel="0" max="5" min="4" style="0" width="19.38"/>
    <col collapsed="false" customWidth="true" hidden="false" outlineLevel="0" max="6" min="6" style="0" width="31.88"/>
    <col collapsed="false" customWidth="true" hidden="false" outlineLevel="0" max="7" min="7" style="0" width="12.5"/>
    <col collapsed="false" customWidth="true" hidden="false" outlineLevel="0" max="8" min="8" style="0" width="13"/>
    <col collapsed="false" customWidth="true" hidden="false" outlineLevel="0" max="9" min="9" style="0" width="12.5"/>
    <col collapsed="false" customWidth="true" hidden="false" outlineLevel="0" max="10" min="10" style="0" width="13.13"/>
    <col collapsed="false" customWidth="true" hidden="false" outlineLevel="0" max="11" min="11" style="0" width="11.25"/>
    <col collapsed="false" customWidth="true" hidden="false" outlineLevel="0" max="12" min="12" style="0" width="9.75"/>
    <col collapsed="false" customWidth="true" hidden="false" outlineLevel="0" max="24" min="13" style="0" width="8.5"/>
    <col collapsed="false" customWidth="true" hidden="false" outlineLevel="0" max="26" min="26" style="0" width="16"/>
    <col collapsed="false" customWidth="true" hidden="false" outlineLevel="0" max="27" min="27" style="0" width="12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customFormat="false" ht="36" hidden="false" customHeight="true" outlineLevel="0" collapsed="false">
      <c r="A2" s="28" t="s">
        <v>84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customFormat="false" ht="18" hidden="false" customHeight="true" outlineLevel="0" collapsed="false">
      <c r="A3" s="60" t="s">
        <v>85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customFormat="false" ht="25.5" hidden="false" customHeight="true" outlineLevel="0" collapsed="false">
      <c r="A4" s="62" t="s">
        <v>86</v>
      </c>
      <c r="B4" s="63" t="n">
        <v>46300</v>
      </c>
      <c r="C4" s="59"/>
      <c r="D4" s="62" t="s">
        <v>87</v>
      </c>
      <c r="E4" s="64" t="n">
        <f aca="false">WORKDAY($B$4-1,16,$Z$9:$Z$30)</f>
        <v>46322</v>
      </c>
      <c r="F4" s="59"/>
      <c r="G4" s="62" t="s">
        <v>88</v>
      </c>
      <c r="H4" s="64" t="n">
        <f aca="false">WORKDAY($B$4-1,17,$Z$9:$Z$30)</f>
        <v>46323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customFormat="false" ht="24.75" hidden="false" customHeight="true" outlineLevel="0" collapsed="false">
      <c r="A5" s="65" t="s">
        <v>89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6"/>
      <c r="V5" s="66"/>
      <c r="W5" s="66"/>
      <c r="X5" s="66"/>
    </row>
    <row r="6" customFormat="false" ht="24.75" hidden="false" customHeight="true" outlineLevel="0" collapsed="false">
      <c r="A6" s="65" t="s">
        <v>90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6"/>
      <c r="V6" s="66"/>
      <c r="W6" s="66"/>
      <c r="X6" s="66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7" t="n">
        <f aca="false">$B$4+0</f>
        <v>46300</v>
      </c>
      <c r="N7" s="67" t="n">
        <f aca="false">$B$4+7</f>
        <v>46307</v>
      </c>
      <c r="O7" s="67" t="n">
        <f aca="false">$B$4+14</f>
        <v>46314</v>
      </c>
      <c r="P7" s="67" t="n">
        <f aca="false">$B$4+21</f>
        <v>46321</v>
      </c>
      <c r="Q7" s="67" t="n">
        <f aca="false">$B$4+28</f>
        <v>46328</v>
      </c>
      <c r="R7" s="67" t="n">
        <f aca="false">$B$4+35</f>
        <v>46335</v>
      </c>
      <c r="S7" s="67" t="n">
        <f aca="false">$B$4+42</f>
        <v>46342</v>
      </c>
      <c r="T7" s="67" t="n">
        <f aca="false">$B$4+49</f>
        <v>46349</v>
      </c>
      <c r="U7" s="67" t="n">
        <f aca="false">$B$4+56</f>
        <v>46356</v>
      </c>
      <c r="V7" s="67" t="n">
        <f aca="false">$B$4+63</f>
        <v>46363</v>
      </c>
      <c r="W7" s="67" t="n">
        <f aca="false">$B$4+70</f>
        <v>46370</v>
      </c>
      <c r="X7" s="67" t="n">
        <f aca="false">$B$4+77</f>
        <v>46377</v>
      </c>
    </row>
    <row r="8" customFormat="false" ht="33.75" hidden="false" customHeight="true" outlineLevel="0" collapsed="false">
      <c r="A8" s="68" t="s">
        <v>64</v>
      </c>
      <c r="B8" s="8" t="s">
        <v>65</v>
      </c>
      <c r="C8" s="8" t="s">
        <v>66</v>
      </c>
      <c r="D8" s="8" t="s">
        <v>91</v>
      </c>
      <c r="E8" s="8" t="s">
        <v>92</v>
      </c>
      <c r="F8" s="8" t="s">
        <v>93</v>
      </c>
      <c r="G8" s="8" t="s">
        <v>94</v>
      </c>
      <c r="H8" s="8" t="s">
        <v>95</v>
      </c>
      <c r="I8" s="8" t="s">
        <v>71</v>
      </c>
      <c r="J8" s="8" t="s">
        <v>96</v>
      </c>
      <c r="K8" s="8" t="s">
        <v>97</v>
      </c>
      <c r="L8" s="8" t="s">
        <v>98</v>
      </c>
      <c r="M8" s="68" t="s">
        <v>99</v>
      </c>
      <c r="N8" s="68" t="s">
        <v>100</v>
      </c>
      <c r="O8" s="68" t="s">
        <v>101</v>
      </c>
      <c r="P8" s="68" t="s">
        <v>102</v>
      </c>
      <c r="Q8" s="68" t="s">
        <v>103</v>
      </c>
      <c r="R8" s="68" t="s">
        <v>104</v>
      </c>
      <c r="S8" s="68" t="s">
        <v>105</v>
      </c>
      <c r="T8" s="68" t="s">
        <v>106</v>
      </c>
      <c r="U8" s="68" t="s">
        <v>107</v>
      </c>
      <c r="V8" s="68" t="s">
        <v>108</v>
      </c>
      <c r="W8" s="68" t="s">
        <v>109</v>
      </c>
      <c r="X8" s="68" t="s">
        <v>110</v>
      </c>
      <c r="Z8" s="69" t="s">
        <v>111</v>
      </c>
      <c r="AA8" s="69"/>
    </row>
    <row r="9" customFormat="false" ht="39.75" hidden="false" customHeight="true" outlineLevel="0" collapsed="false">
      <c r="A9" s="70" t="s">
        <v>112</v>
      </c>
      <c r="B9" s="71" t="s">
        <v>113</v>
      </c>
      <c r="C9" s="72" t="s">
        <v>114</v>
      </c>
      <c r="D9" s="73" t="s">
        <v>115</v>
      </c>
      <c r="E9" s="73" t="s">
        <v>116</v>
      </c>
      <c r="F9" s="73" t="s">
        <v>117</v>
      </c>
      <c r="G9" s="74" t="n">
        <f aca="false">WORKDAY($B$4-1,1,$Z$9:$Z$30)</f>
        <v>46300</v>
      </c>
      <c r="H9" s="74" t="n">
        <f aca="false">WORKDAY($B$4-1,1,$Z$9:$Z$30)</f>
        <v>46300</v>
      </c>
      <c r="I9" s="74" t="s">
        <v>118</v>
      </c>
      <c r="J9" s="71" t="s">
        <v>119</v>
      </c>
      <c r="K9" s="71" t="s">
        <v>31</v>
      </c>
      <c r="L9" s="71" t="n">
        <f aca="false">NETWORKDAYS(G9,H9,$Z$9:$Z$30)</f>
        <v>1</v>
      </c>
      <c r="M9" s="75" t="str">
        <f aca="false">IF(AND($G9&lt;=M$7+6,$H9&gt;=M$7),"■","")</f>
        <v>■</v>
      </c>
      <c r="N9" s="75" t="str">
        <f aca="false">IF(AND($G9&lt;=N$7+6,$H9&gt;=N$7),"■","")</f>
        <v/>
      </c>
      <c r="O9" s="75" t="str">
        <f aca="false">IF(AND($G9&lt;=O$7+6,$H9&gt;=O$7),"■","")</f>
        <v/>
      </c>
      <c r="P9" s="75" t="str">
        <f aca="false">IF(AND($G9&lt;=P$7+6,$H9&gt;=P$7),"■","")</f>
        <v/>
      </c>
      <c r="Q9" s="75" t="str">
        <f aca="false">IF(AND($G9&lt;=Q$7+6,$H9&gt;=Q$7),"■","")</f>
        <v/>
      </c>
      <c r="R9" s="75" t="str">
        <f aca="false">IF(AND($G9&lt;=R$7+6,$H9&gt;=R$7),"■","")</f>
        <v/>
      </c>
      <c r="S9" s="75" t="str">
        <f aca="false">IF(AND($G9&lt;=S$7+6,$H9&gt;=S$7),"■","")</f>
        <v/>
      </c>
      <c r="T9" s="75" t="str">
        <f aca="false">IF(AND($G9&lt;=T$7+6,$H9&gt;=T$7),"■","")</f>
        <v/>
      </c>
      <c r="U9" s="75" t="str">
        <f aca="false">IF(AND($G9&lt;=U$7+6,$H9&gt;=U$7),"■","")</f>
        <v/>
      </c>
      <c r="V9" s="75" t="str">
        <f aca="false">IF(AND($G9&lt;=V$7+6,$H9&gt;=V$7),"■","")</f>
        <v/>
      </c>
      <c r="W9" s="75" t="str">
        <f aca="false">IF(AND($G9&lt;=W$7+6,$H9&gt;=W$7),"■","")</f>
        <v/>
      </c>
      <c r="X9" s="75" t="str">
        <f aca="false">IF(AND($G9&lt;=X$7+6,$H9&gt;=X$7),"■","")</f>
        <v/>
      </c>
      <c r="Z9" s="76" t="n">
        <v>46307</v>
      </c>
      <c r="AA9" s="77" t="s">
        <v>120</v>
      </c>
    </row>
    <row r="10" customFormat="false" ht="39.75" hidden="false" customHeight="true" outlineLevel="0" collapsed="false">
      <c r="A10" s="78" t="s">
        <v>121</v>
      </c>
      <c r="B10" s="79" t="s">
        <v>113</v>
      </c>
      <c r="C10" s="80" t="s">
        <v>122</v>
      </c>
      <c r="D10" s="81" t="s">
        <v>115</v>
      </c>
      <c r="E10" s="82" t="s">
        <v>118</v>
      </c>
      <c r="F10" s="82" t="s">
        <v>123</v>
      </c>
      <c r="G10" s="74" t="n">
        <f aca="false">WORKDAY($B$4-1,2,$Z$9:$Z$30)</f>
        <v>46301</v>
      </c>
      <c r="H10" s="74" t="n">
        <f aca="false">WORKDAY($B$4-1,5,$Z$9:$Z$30)</f>
        <v>46304</v>
      </c>
      <c r="I10" s="74" t="s">
        <v>118</v>
      </c>
      <c r="J10" s="83" t="s">
        <v>112</v>
      </c>
      <c r="K10" s="79" t="s">
        <v>31</v>
      </c>
      <c r="L10" s="79" t="n">
        <f aca="false">NETWORKDAYS(G10,H10,$Z$9:$Z$30)</f>
        <v>4</v>
      </c>
      <c r="M10" s="84" t="str">
        <f aca="false">IF(AND($G10&lt;=M$7+6,$H10&gt;=M$7),"■","")</f>
        <v>■</v>
      </c>
      <c r="N10" s="84" t="str">
        <f aca="false">IF(AND($G10&lt;=N$7+6,$H10&gt;=N$7),"■","")</f>
        <v/>
      </c>
      <c r="O10" s="84" t="str">
        <f aca="false">IF(AND($G10&lt;=O$7+6,$H10&gt;=O$7),"■","")</f>
        <v/>
      </c>
      <c r="P10" s="84" t="str">
        <f aca="false">IF(AND($G10&lt;=P$7+6,$H10&gt;=P$7),"■","")</f>
        <v/>
      </c>
      <c r="Q10" s="84" t="str">
        <f aca="false">IF(AND($G10&lt;=Q$7+6,$H10&gt;=Q$7),"■","")</f>
        <v/>
      </c>
      <c r="R10" s="84" t="str">
        <f aca="false">IF(AND($G10&lt;=R$7+6,$H10&gt;=R$7),"■","")</f>
        <v/>
      </c>
      <c r="S10" s="84" t="str">
        <f aca="false">IF(AND($G10&lt;=S$7+6,$H10&gt;=S$7),"■","")</f>
        <v/>
      </c>
      <c r="T10" s="84" t="str">
        <f aca="false">IF(AND($G10&lt;=T$7+6,$H10&gt;=T$7),"■","")</f>
        <v/>
      </c>
      <c r="U10" s="84" t="str">
        <f aca="false">IF(AND($G10&lt;=U$7+6,$H10&gt;=U$7),"■","")</f>
        <v/>
      </c>
      <c r="V10" s="84" t="str">
        <f aca="false">IF(AND($G10&lt;=V$7+6,$H10&gt;=V$7),"■","")</f>
        <v/>
      </c>
      <c r="W10" s="84" t="str">
        <f aca="false">IF(AND($G10&lt;=W$7+6,$H10&gt;=W$7),"■","")</f>
        <v/>
      </c>
      <c r="X10" s="84" t="str">
        <f aca="false">IF(AND($G10&lt;=X$7+6,$H10&gt;=X$7),"■","")</f>
        <v/>
      </c>
      <c r="Z10" s="76" t="n">
        <v>46329</v>
      </c>
      <c r="AA10" s="77" t="s">
        <v>124</v>
      </c>
    </row>
    <row r="11" customFormat="false" ht="39.75" hidden="false" customHeight="true" outlineLevel="0" collapsed="false">
      <c r="A11" s="70" t="s">
        <v>125</v>
      </c>
      <c r="B11" s="71" t="s">
        <v>126</v>
      </c>
      <c r="C11" s="72" t="s">
        <v>127</v>
      </c>
      <c r="D11" s="73" t="s">
        <v>116</v>
      </c>
      <c r="E11" s="73" t="s">
        <v>128</v>
      </c>
      <c r="F11" s="73" t="s">
        <v>129</v>
      </c>
      <c r="G11" s="74" t="n">
        <f aca="false">WORKDAY($B$4-1,6,$Z$9:$Z$30)</f>
        <v>46308</v>
      </c>
      <c r="H11" s="74" t="n">
        <f aca="false">WORKDAY($B$4-1,10,$Z$9:$Z$30)</f>
        <v>46314</v>
      </c>
      <c r="I11" s="74" t="n">
        <f aca="false">WORKDAY($B$4-1,10,$Z$9:$Z$30)</f>
        <v>46314</v>
      </c>
      <c r="J11" s="85" t="s">
        <v>121</v>
      </c>
      <c r="K11" s="71" t="s">
        <v>31</v>
      </c>
      <c r="L11" s="71" t="n">
        <f aca="false">NETWORKDAYS(G11,H11,$Z$9:$Z$30)</f>
        <v>5</v>
      </c>
      <c r="M11" s="75" t="str">
        <f aca="false">IF(AND($G11&lt;=M$7+6,$H11&gt;=M$7),"■","")</f>
        <v/>
      </c>
      <c r="N11" s="75" t="str">
        <f aca="false">IF(AND($G11&lt;=N$7+6,$H11&gt;=N$7),"■","")</f>
        <v>■</v>
      </c>
      <c r="O11" s="75" t="str">
        <f aca="false">IF(AND($G11&lt;=O$7+6,$H11&gt;=O$7),"■","")</f>
        <v>■</v>
      </c>
      <c r="P11" s="75" t="str">
        <f aca="false">IF(AND($G11&lt;=P$7+6,$H11&gt;=P$7),"■","")</f>
        <v/>
      </c>
      <c r="Q11" s="75" t="str">
        <f aca="false">IF(AND($G11&lt;=Q$7+6,$H11&gt;=Q$7),"■","")</f>
        <v/>
      </c>
      <c r="R11" s="75" t="str">
        <f aca="false">IF(AND($G11&lt;=R$7+6,$H11&gt;=R$7),"■","")</f>
        <v/>
      </c>
      <c r="S11" s="75" t="str">
        <f aca="false">IF(AND($G11&lt;=S$7+6,$H11&gt;=S$7),"■","")</f>
        <v/>
      </c>
      <c r="T11" s="75" t="str">
        <f aca="false">IF(AND($G11&lt;=T$7+6,$H11&gt;=T$7),"■","")</f>
        <v/>
      </c>
      <c r="U11" s="75" t="str">
        <f aca="false">IF(AND($G11&lt;=U$7+6,$H11&gt;=U$7),"■","")</f>
        <v/>
      </c>
      <c r="V11" s="75" t="str">
        <f aca="false">IF(AND($G11&lt;=V$7+6,$H11&gt;=V$7),"■","")</f>
        <v/>
      </c>
      <c r="W11" s="75" t="str">
        <f aca="false">IF(AND($G11&lt;=W$7+6,$H11&gt;=W$7),"■","")</f>
        <v/>
      </c>
      <c r="X11" s="75" t="str">
        <f aca="false">IF(AND($G11&lt;=X$7+6,$H11&gt;=X$7),"■","")</f>
        <v/>
      </c>
      <c r="Z11" s="76" t="n">
        <v>46349</v>
      </c>
      <c r="AA11" s="77" t="s">
        <v>130</v>
      </c>
    </row>
    <row r="12" customFormat="false" ht="39.75" hidden="false" customHeight="true" outlineLevel="0" collapsed="false">
      <c r="A12" s="78" t="s">
        <v>131</v>
      </c>
      <c r="B12" s="79" t="s">
        <v>113</v>
      </c>
      <c r="C12" s="80" t="s">
        <v>132</v>
      </c>
      <c r="D12" s="81" t="s">
        <v>115</v>
      </c>
      <c r="E12" s="82" t="s">
        <v>118</v>
      </c>
      <c r="F12" s="81" t="s">
        <v>133</v>
      </c>
      <c r="G12" s="74" t="n">
        <f aca="false">WORKDAY($B$4-1,11,$Z$9:$Z$30)</f>
        <v>46315</v>
      </c>
      <c r="H12" s="74" t="n">
        <f aca="false">WORKDAY($B$4-1,11,$Z$9:$Z$30)</f>
        <v>46315</v>
      </c>
      <c r="I12" s="74" t="s">
        <v>118</v>
      </c>
      <c r="J12" s="83" t="s">
        <v>125</v>
      </c>
      <c r="K12" s="79" t="s">
        <v>31</v>
      </c>
      <c r="L12" s="79" t="n">
        <f aca="false">NETWORKDAYS(G12,H12,$Z$9:$Z$30)</f>
        <v>1</v>
      </c>
      <c r="M12" s="84" t="str">
        <f aca="false">IF(AND($G12&lt;=M$7+6,$H12&gt;=M$7),"■","")</f>
        <v/>
      </c>
      <c r="N12" s="84" t="str">
        <f aca="false">IF(AND($G12&lt;=N$7+6,$H12&gt;=N$7),"■","")</f>
        <v/>
      </c>
      <c r="O12" s="84" t="str">
        <f aca="false">IF(AND($G12&lt;=O$7+6,$H12&gt;=O$7),"■","")</f>
        <v>■</v>
      </c>
      <c r="P12" s="84" t="str">
        <f aca="false">IF(AND($G12&lt;=P$7+6,$H12&gt;=P$7),"■","")</f>
        <v/>
      </c>
      <c r="Q12" s="84" t="str">
        <f aca="false">IF(AND($G12&lt;=Q$7+6,$H12&gt;=Q$7),"■","")</f>
        <v/>
      </c>
      <c r="R12" s="84" t="str">
        <f aca="false">IF(AND($G12&lt;=R$7+6,$H12&gt;=R$7),"■","")</f>
        <v/>
      </c>
      <c r="S12" s="84" t="str">
        <f aca="false">IF(AND($G12&lt;=S$7+6,$H12&gt;=S$7),"■","")</f>
        <v/>
      </c>
      <c r="T12" s="84" t="str">
        <f aca="false">IF(AND($G12&lt;=T$7+6,$H12&gt;=T$7),"■","")</f>
        <v/>
      </c>
      <c r="U12" s="84" t="str">
        <f aca="false">IF(AND($G12&lt;=U$7+6,$H12&gt;=U$7),"■","")</f>
        <v/>
      </c>
      <c r="V12" s="84" t="str">
        <f aca="false">IF(AND($G12&lt;=V$7+6,$H12&gt;=V$7),"■","")</f>
        <v/>
      </c>
      <c r="W12" s="84" t="str">
        <f aca="false">IF(AND($G12&lt;=W$7+6,$H12&gt;=W$7),"■","")</f>
        <v/>
      </c>
      <c r="X12" s="84" t="str">
        <f aca="false">IF(AND($G12&lt;=X$7+6,$H12&gt;=X$7),"■","")</f>
        <v/>
      </c>
      <c r="Z12" s="76" t="n">
        <v>46385</v>
      </c>
      <c r="AA12" s="77" t="s">
        <v>134</v>
      </c>
    </row>
    <row r="13" customFormat="false" ht="39.75" hidden="false" customHeight="true" outlineLevel="0" collapsed="false">
      <c r="A13" s="70" t="s">
        <v>135</v>
      </c>
      <c r="B13" s="71" t="s">
        <v>136</v>
      </c>
      <c r="C13" s="72" t="s">
        <v>137</v>
      </c>
      <c r="D13" s="73" t="s">
        <v>138</v>
      </c>
      <c r="E13" s="86" t="s">
        <v>118</v>
      </c>
      <c r="F13" s="73" t="s">
        <v>139</v>
      </c>
      <c r="G13" s="74" t="n">
        <f aca="false">WORKDAY($B$4-1,6,$Z$9:$Z$30)</f>
        <v>46308</v>
      </c>
      <c r="H13" s="74" t="n">
        <f aca="false">WORKDAY($B$4-1,9,$Z$9:$Z$30)</f>
        <v>46311</v>
      </c>
      <c r="I13" s="74" t="s">
        <v>118</v>
      </c>
      <c r="J13" s="85" t="s">
        <v>121</v>
      </c>
      <c r="K13" s="71" t="s">
        <v>31</v>
      </c>
      <c r="L13" s="71" t="n">
        <f aca="false">NETWORKDAYS(G13,H13,$Z$9:$Z$30)</f>
        <v>4</v>
      </c>
      <c r="M13" s="75" t="str">
        <f aca="false">IF(AND($G13&lt;=M$7+6,$H13&gt;=M$7),"■","")</f>
        <v/>
      </c>
      <c r="N13" s="75" t="str">
        <f aca="false">IF(AND($G13&lt;=N$7+6,$H13&gt;=N$7),"■","")</f>
        <v>■</v>
      </c>
      <c r="O13" s="75" t="str">
        <f aca="false">IF(AND($G13&lt;=O$7+6,$H13&gt;=O$7),"■","")</f>
        <v/>
      </c>
      <c r="P13" s="75" t="str">
        <f aca="false">IF(AND($G13&lt;=P$7+6,$H13&gt;=P$7),"■","")</f>
        <v/>
      </c>
      <c r="Q13" s="75" t="str">
        <f aca="false">IF(AND($G13&lt;=Q$7+6,$H13&gt;=Q$7),"■","")</f>
        <v/>
      </c>
      <c r="R13" s="75" t="str">
        <f aca="false">IF(AND($G13&lt;=R$7+6,$H13&gt;=R$7),"■","")</f>
        <v/>
      </c>
      <c r="S13" s="75" t="str">
        <f aca="false">IF(AND($G13&lt;=S$7+6,$H13&gt;=S$7),"■","")</f>
        <v/>
      </c>
      <c r="T13" s="75" t="str">
        <f aca="false">IF(AND($G13&lt;=T$7+6,$H13&gt;=T$7),"■","")</f>
        <v/>
      </c>
      <c r="U13" s="75" t="str">
        <f aca="false">IF(AND($G13&lt;=U$7+6,$H13&gt;=U$7),"■","")</f>
        <v/>
      </c>
      <c r="V13" s="75" t="str">
        <f aca="false">IF(AND($G13&lt;=V$7+6,$H13&gt;=V$7),"■","")</f>
        <v/>
      </c>
      <c r="W13" s="75" t="str">
        <f aca="false">IF(AND($G13&lt;=W$7+6,$H13&gt;=W$7),"■","")</f>
        <v/>
      </c>
      <c r="X13" s="75" t="str">
        <f aca="false">IF(AND($G13&lt;=X$7+6,$H13&gt;=X$7),"■","")</f>
        <v/>
      </c>
      <c r="Z13" s="76" t="n">
        <v>46386</v>
      </c>
      <c r="AA13" s="77" t="s">
        <v>134</v>
      </c>
    </row>
    <row r="14" customFormat="false" ht="39.75" hidden="false" customHeight="true" outlineLevel="0" collapsed="false">
      <c r="A14" s="78" t="s">
        <v>140</v>
      </c>
      <c r="B14" s="79" t="s">
        <v>136</v>
      </c>
      <c r="C14" s="80" t="s">
        <v>141</v>
      </c>
      <c r="D14" s="81" t="s">
        <v>142</v>
      </c>
      <c r="E14" s="81" t="s">
        <v>143</v>
      </c>
      <c r="F14" s="81" t="s">
        <v>144</v>
      </c>
      <c r="G14" s="74" t="n">
        <f aca="false">WORKDAY($B$4-1,6,$Z$9:$Z$30)</f>
        <v>46308</v>
      </c>
      <c r="H14" s="74" t="n">
        <f aca="false">WORKDAY($B$4-1,10,$Z$9:$Z$30)</f>
        <v>46314</v>
      </c>
      <c r="I14" s="74" t="n">
        <f aca="false">WORKDAY($B$4-1,10,$Z$9:$Z$30)</f>
        <v>46314</v>
      </c>
      <c r="J14" s="83" t="s">
        <v>121</v>
      </c>
      <c r="K14" s="79" t="s">
        <v>31</v>
      </c>
      <c r="L14" s="79" t="n">
        <f aca="false">NETWORKDAYS(G14,H14,$Z$9:$Z$30)</f>
        <v>5</v>
      </c>
      <c r="M14" s="84" t="str">
        <f aca="false">IF(AND($G14&lt;=M$7+6,$H14&gt;=M$7),"■","")</f>
        <v/>
      </c>
      <c r="N14" s="84" t="str">
        <f aca="false">IF(AND($G14&lt;=N$7+6,$H14&gt;=N$7),"■","")</f>
        <v>■</v>
      </c>
      <c r="O14" s="84" t="str">
        <f aca="false">IF(AND($G14&lt;=O$7+6,$H14&gt;=O$7),"■","")</f>
        <v>■</v>
      </c>
      <c r="P14" s="84" t="str">
        <f aca="false">IF(AND($G14&lt;=P$7+6,$H14&gt;=P$7),"■","")</f>
        <v/>
      </c>
      <c r="Q14" s="84" t="str">
        <f aca="false">IF(AND($G14&lt;=Q$7+6,$H14&gt;=Q$7),"■","")</f>
        <v/>
      </c>
      <c r="R14" s="84" t="str">
        <f aca="false">IF(AND($G14&lt;=R$7+6,$H14&gt;=R$7),"■","")</f>
        <v/>
      </c>
      <c r="S14" s="84" t="str">
        <f aca="false">IF(AND($G14&lt;=S$7+6,$H14&gt;=S$7),"■","")</f>
        <v/>
      </c>
      <c r="T14" s="84" t="str">
        <f aca="false">IF(AND($G14&lt;=T$7+6,$H14&gt;=T$7),"■","")</f>
        <v/>
      </c>
      <c r="U14" s="84" t="str">
        <f aca="false">IF(AND($G14&lt;=U$7+6,$H14&gt;=U$7),"■","")</f>
        <v/>
      </c>
      <c r="V14" s="84" t="str">
        <f aca="false">IF(AND($G14&lt;=V$7+6,$H14&gt;=V$7),"■","")</f>
        <v/>
      </c>
      <c r="W14" s="84" t="str">
        <f aca="false">IF(AND($G14&lt;=W$7+6,$H14&gt;=W$7),"■","")</f>
        <v/>
      </c>
      <c r="X14" s="84" t="str">
        <f aca="false">IF(AND($G14&lt;=X$7+6,$H14&gt;=X$7),"■","")</f>
        <v/>
      </c>
      <c r="Z14" s="76" t="n">
        <v>46387</v>
      </c>
      <c r="AA14" s="77" t="s">
        <v>134</v>
      </c>
    </row>
    <row r="15" customFormat="false" ht="39.75" hidden="false" customHeight="true" outlineLevel="0" collapsed="false">
      <c r="A15" s="70" t="s">
        <v>145</v>
      </c>
      <c r="B15" s="71" t="s">
        <v>136</v>
      </c>
      <c r="C15" s="72" t="s">
        <v>146</v>
      </c>
      <c r="D15" s="73" t="s">
        <v>142</v>
      </c>
      <c r="E15" s="73" t="s">
        <v>147</v>
      </c>
      <c r="F15" s="86" t="s">
        <v>148</v>
      </c>
      <c r="G15" s="74" t="n">
        <f aca="false">WORKDAY($B$4-1,11,$Z$9:$Z$30)</f>
        <v>46315</v>
      </c>
      <c r="H15" s="74" t="n">
        <f aca="false">WORKDAY($B$4-1,15,$Z$9:$Z$30)</f>
        <v>46321</v>
      </c>
      <c r="I15" s="74" t="n">
        <f aca="false">WORKDAY($B$4-1,15,$Z$9:$Z$30)</f>
        <v>46321</v>
      </c>
      <c r="J15" s="85" t="s">
        <v>149</v>
      </c>
      <c r="K15" s="71" t="s">
        <v>31</v>
      </c>
      <c r="L15" s="71" t="n">
        <f aca="false">NETWORKDAYS(G15,H15,$Z$9:$Z$30)</f>
        <v>5</v>
      </c>
      <c r="M15" s="75" t="str">
        <f aca="false">IF(AND($G15&lt;=M$7+6,$H15&gt;=M$7),"■","")</f>
        <v/>
      </c>
      <c r="N15" s="75" t="str">
        <f aca="false">IF(AND($G15&lt;=N$7+6,$H15&gt;=N$7),"■","")</f>
        <v/>
      </c>
      <c r="O15" s="75" t="str">
        <f aca="false">IF(AND($G15&lt;=O$7+6,$H15&gt;=O$7),"■","")</f>
        <v>■</v>
      </c>
      <c r="P15" s="75" t="str">
        <f aca="false">IF(AND($G15&lt;=P$7+6,$H15&gt;=P$7),"■","")</f>
        <v>■</v>
      </c>
      <c r="Q15" s="75" t="str">
        <f aca="false">IF(AND($G15&lt;=Q$7+6,$H15&gt;=Q$7),"■","")</f>
        <v/>
      </c>
      <c r="R15" s="75" t="str">
        <f aca="false">IF(AND($G15&lt;=R$7+6,$H15&gt;=R$7),"■","")</f>
        <v/>
      </c>
      <c r="S15" s="75" t="str">
        <f aca="false">IF(AND($G15&lt;=S$7+6,$H15&gt;=S$7),"■","")</f>
        <v/>
      </c>
      <c r="T15" s="75" t="str">
        <f aca="false">IF(AND($G15&lt;=T$7+6,$H15&gt;=T$7),"■","")</f>
        <v/>
      </c>
      <c r="U15" s="75" t="str">
        <f aca="false">IF(AND($G15&lt;=U$7+6,$H15&gt;=U$7),"■","")</f>
        <v/>
      </c>
      <c r="V15" s="75" t="str">
        <f aca="false">IF(AND($G15&lt;=V$7+6,$H15&gt;=V$7),"■","")</f>
        <v/>
      </c>
      <c r="W15" s="75" t="str">
        <f aca="false">IF(AND($G15&lt;=W$7+6,$H15&gt;=W$7),"■","")</f>
        <v/>
      </c>
      <c r="X15" s="75" t="str">
        <f aca="false">IF(AND($G15&lt;=X$7+6,$H15&gt;=X$7),"■","")</f>
        <v/>
      </c>
      <c r="Z15" s="76" t="n">
        <v>46388</v>
      </c>
      <c r="AA15" s="77" t="s">
        <v>150</v>
      </c>
    </row>
    <row r="16" customFormat="false" ht="39.75" hidden="false" customHeight="true" outlineLevel="0" collapsed="false">
      <c r="A16" s="78" t="s">
        <v>151</v>
      </c>
      <c r="B16" s="79" t="s">
        <v>152</v>
      </c>
      <c r="C16" s="80" t="s">
        <v>153</v>
      </c>
      <c r="D16" s="81" t="s">
        <v>138</v>
      </c>
      <c r="E16" s="81" t="s">
        <v>142</v>
      </c>
      <c r="F16" s="81" t="s">
        <v>154</v>
      </c>
      <c r="G16" s="74" t="n">
        <f aca="false">WORKDAY($B$4-1,16,$Z$9:$Z$30)</f>
        <v>46322</v>
      </c>
      <c r="H16" s="74" t="n">
        <f aca="false">WORKDAY($B$4-1,16,$Z$9:$Z$30)</f>
        <v>46322</v>
      </c>
      <c r="I16" s="74" t="s">
        <v>118</v>
      </c>
      <c r="J16" s="83" t="s">
        <v>145</v>
      </c>
      <c r="K16" s="79" t="s">
        <v>31</v>
      </c>
      <c r="L16" s="79" t="n">
        <f aca="false">NETWORKDAYS(G16,H16,$Z$9:$Z$30)</f>
        <v>1</v>
      </c>
      <c r="M16" s="84" t="str">
        <f aca="false">IF(AND($G16&lt;=M$7+6,$H16&gt;=M$7),"■","")</f>
        <v/>
      </c>
      <c r="N16" s="84" t="str">
        <f aca="false">IF(AND($G16&lt;=N$7+6,$H16&gt;=N$7),"■","")</f>
        <v/>
      </c>
      <c r="O16" s="84" t="str">
        <f aca="false">IF(AND($G16&lt;=O$7+6,$H16&gt;=O$7),"■","")</f>
        <v/>
      </c>
      <c r="P16" s="84" t="str">
        <f aca="false">IF(AND($G16&lt;=P$7+6,$H16&gt;=P$7),"■","")</f>
        <v>■</v>
      </c>
      <c r="Q16" s="84" t="str">
        <f aca="false">IF(AND($G16&lt;=Q$7+6,$H16&gt;=Q$7),"■","")</f>
        <v/>
      </c>
      <c r="R16" s="84" t="str">
        <f aca="false">IF(AND($G16&lt;=R$7+6,$H16&gt;=R$7),"■","")</f>
        <v/>
      </c>
      <c r="S16" s="84" t="str">
        <f aca="false">IF(AND($G16&lt;=S$7+6,$H16&gt;=S$7),"■","")</f>
        <v/>
      </c>
      <c r="T16" s="84" t="str">
        <f aca="false">IF(AND($G16&lt;=T$7+6,$H16&gt;=T$7),"■","")</f>
        <v/>
      </c>
      <c r="U16" s="84" t="str">
        <f aca="false">IF(AND($G16&lt;=U$7+6,$H16&gt;=U$7),"■","")</f>
        <v/>
      </c>
      <c r="V16" s="84" t="str">
        <f aca="false">IF(AND($G16&lt;=V$7+6,$H16&gt;=V$7),"■","")</f>
        <v/>
      </c>
      <c r="W16" s="84" t="str">
        <f aca="false">IF(AND($G16&lt;=W$7+6,$H16&gt;=W$7),"■","")</f>
        <v/>
      </c>
      <c r="X16" s="84" t="str">
        <f aca="false">IF(AND($G16&lt;=X$7+6,$H16&gt;=X$7),"■","")</f>
        <v/>
      </c>
      <c r="Z16" s="76" t="n">
        <v>46398</v>
      </c>
      <c r="AA16" s="77" t="s">
        <v>155</v>
      </c>
    </row>
    <row r="17" customFormat="false" ht="39.75" hidden="false" customHeight="true" outlineLevel="0" collapsed="false">
      <c r="A17" s="70" t="s">
        <v>156</v>
      </c>
      <c r="B17" s="71" t="s">
        <v>152</v>
      </c>
      <c r="C17" s="72" t="s">
        <v>157</v>
      </c>
      <c r="D17" s="73" t="s">
        <v>138</v>
      </c>
      <c r="E17" s="73" t="s">
        <v>142</v>
      </c>
      <c r="F17" s="73" t="s">
        <v>158</v>
      </c>
      <c r="G17" s="74" t="n">
        <f aca="false">WORKDAY($B$4-1,17,$Z$9:$Z$30)</f>
        <v>46323</v>
      </c>
      <c r="H17" s="74" t="n">
        <f aca="false">WORKDAY($B$4-1,17,$Z$9:$Z$30)</f>
        <v>46323</v>
      </c>
      <c r="I17" s="74" t="s">
        <v>118</v>
      </c>
      <c r="J17" s="85" t="s">
        <v>151</v>
      </c>
      <c r="K17" s="71" t="s">
        <v>31</v>
      </c>
      <c r="L17" s="71" t="n">
        <f aca="false">NETWORKDAYS(G17,H17,$Z$9:$Z$30)</f>
        <v>1</v>
      </c>
      <c r="M17" s="75" t="str">
        <f aca="false">IF(AND($G17&lt;=M$7+6,$H17&gt;=M$7),"■","")</f>
        <v/>
      </c>
      <c r="N17" s="75" t="str">
        <f aca="false">IF(AND($G17&lt;=N$7+6,$H17&gt;=N$7),"■","")</f>
        <v/>
      </c>
      <c r="O17" s="75" t="str">
        <f aca="false">IF(AND($G17&lt;=O$7+6,$H17&gt;=O$7),"■","")</f>
        <v/>
      </c>
      <c r="P17" s="75" t="str">
        <f aca="false">IF(AND($G17&lt;=P$7+6,$H17&gt;=P$7),"■","")</f>
        <v>■</v>
      </c>
      <c r="Q17" s="75" t="str">
        <f aca="false">IF(AND($G17&lt;=Q$7+6,$H17&gt;=Q$7),"■","")</f>
        <v/>
      </c>
      <c r="R17" s="75" t="str">
        <f aca="false">IF(AND($G17&lt;=R$7+6,$H17&gt;=R$7),"■","")</f>
        <v/>
      </c>
      <c r="S17" s="75" t="str">
        <f aca="false">IF(AND($G17&lt;=S$7+6,$H17&gt;=S$7),"■","")</f>
        <v/>
      </c>
      <c r="T17" s="75" t="str">
        <f aca="false">IF(AND($G17&lt;=T$7+6,$H17&gt;=T$7),"■","")</f>
        <v/>
      </c>
      <c r="U17" s="75" t="str">
        <f aca="false">IF(AND($G17&lt;=U$7+6,$H17&gt;=U$7),"■","")</f>
        <v/>
      </c>
      <c r="V17" s="75" t="str">
        <f aca="false">IF(AND($G17&lt;=V$7+6,$H17&gt;=V$7),"■","")</f>
        <v/>
      </c>
      <c r="W17" s="75" t="str">
        <f aca="false">IF(AND($G17&lt;=W$7+6,$H17&gt;=W$7),"■","")</f>
        <v/>
      </c>
      <c r="X17" s="75" t="str">
        <f aca="false">IF(AND($G17&lt;=X$7+6,$H17&gt;=X$7),"■","")</f>
        <v/>
      </c>
      <c r="Z17" s="76"/>
      <c r="AA17" s="77"/>
    </row>
    <row r="18" customFormat="false" ht="39.75" hidden="false" customHeight="true" outlineLevel="0" collapsed="false">
      <c r="A18" s="78" t="s">
        <v>159</v>
      </c>
      <c r="B18" s="79" t="s">
        <v>160</v>
      </c>
      <c r="C18" s="80" t="s">
        <v>161</v>
      </c>
      <c r="D18" s="81" t="s">
        <v>162</v>
      </c>
      <c r="E18" s="82" t="s">
        <v>118</v>
      </c>
      <c r="F18" s="81" t="s">
        <v>163</v>
      </c>
      <c r="G18" s="74" t="n">
        <f aca="false">WORKDAY($B$4-1,18,$Z$9:$Z$30)</f>
        <v>46324</v>
      </c>
      <c r="H18" s="74" t="n">
        <f aca="false">WORKDAY($B$4-1,20,$Z$9:$Z$30)</f>
        <v>46328</v>
      </c>
      <c r="I18" s="74" t="s">
        <v>118</v>
      </c>
      <c r="J18" s="83" t="s">
        <v>156</v>
      </c>
      <c r="K18" s="79" t="s">
        <v>31</v>
      </c>
      <c r="L18" s="79" t="n">
        <f aca="false">NETWORKDAYS(G18,H18,$Z$9:$Z$30)</f>
        <v>3</v>
      </c>
      <c r="M18" s="84" t="str">
        <f aca="false">IF(AND($G18&lt;=M$7+6,$H18&gt;=M$7),"■","")</f>
        <v/>
      </c>
      <c r="N18" s="84" t="str">
        <f aca="false">IF(AND($G18&lt;=N$7+6,$H18&gt;=N$7),"■","")</f>
        <v/>
      </c>
      <c r="O18" s="84" t="str">
        <f aca="false">IF(AND($G18&lt;=O$7+6,$H18&gt;=O$7),"■","")</f>
        <v/>
      </c>
      <c r="P18" s="84" t="str">
        <f aca="false">IF(AND($G18&lt;=P$7+6,$H18&gt;=P$7),"■","")</f>
        <v>■</v>
      </c>
      <c r="Q18" s="84" t="str">
        <f aca="false">IF(AND($G18&lt;=Q$7+6,$H18&gt;=Q$7),"■","")</f>
        <v>■</v>
      </c>
      <c r="R18" s="84" t="str">
        <f aca="false">IF(AND($G18&lt;=R$7+6,$H18&gt;=R$7),"■","")</f>
        <v/>
      </c>
      <c r="S18" s="84" t="str">
        <f aca="false">IF(AND($G18&lt;=S$7+6,$H18&gt;=S$7),"■","")</f>
        <v/>
      </c>
      <c r="T18" s="84" t="str">
        <f aca="false">IF(AND($G18&lt;=T$7+6,$H18&gt;=T$7),"■","")</f>
        <v/>
      </c>
      <c r="U18" s="84" t="str">
        <f aca="false">IF(AND($G18&lt;=U$7+6,$H18&gt;=U$7),"■","")</f>
        <v/>
      </c>
      <c r="V18" s="84" t="str">
        <f aca="false">IF(AND($G18&lt;=V$7+6,$H18&gt;=V$7),"■","")</f>
        <v/>
      </c>
      <c r="W18" s="84" t="str">
        <f aca="false">IF(AND($G18&lt;=W$7+6,$H18&gt;=W$7),"■","")</f>
        <v/>
      </c>
      <c r="X18" s="84" t="str">
        <f aca="false">IF(AND($G18&lt;=X$7+6,$H18&gt;=X$7),"■","")</f>
        <v/>
      </c>
      <c r="Z18" s="76"/>
      <c r="AA18" s="77"/>
    </row>
    <row r="19" customFormat="false" ht="39.75" hidden="false" customHeight="true" outlineLevel="0" collapsed="false">
      <c r="A19" s="70" t="s">
        <v>164</v>
      </c>
      <c r="B19" s="71" t="s">
        <v>165</v>
      </c>
      <c r="C19" s="72" t="s">
        <v>166</v>
      </c>
      <c r="D19" s="73" t="s">
        <v>167</v>
      </c>
      <c r="E19" s="86" t="s">
        <v>118</v>
      </c>
      <c r="F19" s="73" t="s">
        <v>168</v>
      </c>
      <c r="G19" s="74" t="n">
        <f aca="false">WORKDAY($B$4-1,18,$Z$9:$Z$30)</f>
        <v>46324</v>
      </c>
      <c r="H19" s="74" t="n">
        <f aca="false">WORKDAY($B$4-1,22,$Z$9:$Z$30)</f>
        <v>46331</v>
      </c>
      <c r="I19" s="74" t="s">
        <v>118</v>
      </c>
      <c r="J19" s="85" t="s">
        <v>156</v>
      </c>
      <c r="K19" s="71" t="s">
        <v>31</v>
      </c>
      <c r="L19" s="71" t="n">
        <f aca="false">NETWORKDAYS(G19,H19,$Z$9:$Z$30)</f>
        <v>5</v>
      </c>
      <c r="M19" s="75" t="str">
        <f aca="false">IF(AND($G19&lt;=M$7+6,$H19&gt;=M$7),"■","")</f>
        <v/>
      </c>
      <c r="N19" s="75" t="str">
        <f aca="false">IF(AND($G19&lt;=N$7+6,$H19&gt;=N$7),"■","")</f>
        <v/>
      </c>
      <c r="O19" s="75" t="str">
        <f aca="false">IF(AND($G19&lt;=O$7+6,$H19&gt;=O$7),"■","")</f>
        <v/>
      </c>
      <c r="P19" s="75" t="str">
        <f aca="false">IF(AND($G19&lt;=P$7+6,$H19&gt;=P$7),"■","")</f>
        <v>■</v>
      </c>
      <c r="Q19" s="75" t="str">
        <f aca="false">IF(AND($G19&lt;=Q$7+6,$H19&gt;=Q$7),"■","")</f>
        <v>■</v>
      </c>
      <c r="R19" s="75" t="str">
        <f aca="false">IF(AND($G19&lt;=R$7+6,$H19&gt;=R$7),"■","")</f>
        <v/>
      </c>
      <c r="S19" s="75" t="str">
        <f aca="false">IF(AND($G19&lt;=S$7+6,$H19&gt;=S$7),"■","")</f>
        <v/>
      </c>
      <c r="T19" s="75" t="str">
        <f aca="false">IF(AND($G19&lt;=T$7+6,$H19&gt;=T$7),"■","")</f>
        <v/>
      </c>
      <c r="U19" s="75" t="str">
        <f aca="false">IF(AND($G19&lt;=U$7+6,$H19&gt;=U$7),"■","")</f>
        <v/>
      </c>
      <c r="V19" s="75" t="str">
        <f aca="false">IF(AND($G19&lt;=V$7+6,$H19&gt;=V$7),"■","")</f>
        <v/>
      </c>
      <c r="W19" s="75" t="str">
        <f aca="false">IF(AND($G19&lt;=W$7+6,$H19&gt;=W$7),"■","")</f>
        <v/>
      </c>
      <c r="X19" s="75" t="str">
        <f aca="false">IF(AND($G19&lt;=X$7+6,$H19&gt;=X$7),"■","")</f>
        <v/>
      </c>
      <c r="Z19" s="76"/>
      <c r="AA19" s="77"/>
    </row>
    <row r="20" customFormat="false" ht="39.75" hidden="false" customHeight="true" outlineLevel="0" collapsed="false">
      <c r="A20" s="78" t="s">
        <v>169</v>
      </c>
      <c r="B20" s="79" t="s">
        <v>170</v>
      </c>
      <c r="C20" s="80" t="s">
        <v>26</v>
      </c>
      <c r="D20" s="81" t="s">
        <v>116</v>
      </c>
      <c r="E20" s="81" t="s">
        <v>171</v>
      </c>
      <c r="F20" s="81" t="s">
        <v>172</v>
      </c>
      <c r="G20" s="74" t="n">
        <f aca="false">WORKDAY($B$4-1,23,$Z$9:$Z$30)</f>
        <v>46332</v>
      </c>
      <c r="H20" s="74" t="n">
        <f aca="false">WORKDAY($B$4-1,27,$Z$9:$Z$30)</f>
        <v>46338</v>
      </c>
      <c r="I20" s="74" t="n">
        <f aca="false">WORKDAY($B$4-1,27,$Z$9:$Z$30)</f>
        <v>46338</v>
      </c>
      <c r="J20" s="83" t="s">
        <v>173</v>
      </c>
      <c r="K20" s="79" t="s">
        <v>31</v>
      </c>
      <c r="L20" s="79" t="n">
        <f aca="false">NETWORKDAYS(G20,H20,$Z$9:$Z$30)</f>
        <v>5</v>
      </c>
      <c r="M20" s="84" t="str">
        <f aca="false">IF(AND($G20&lt;=M$7+6,$H20&gt;=M$7),"■","")</f>
        <v/>
      </c>
      <c r="N20" s="84" t="str">
        <f aca="false">IF(AND($G20&lt;=N$7+6,$H20&gt;=N$7),"■","")</f>
        <v/>
      </c>
      <c r="O20" s="84" t="str">
        <f aca="false">IF(AND($G20&lt;=O$7+6,$H20&gt;=O$7),"■","")</f>
        <v/>
      </c>
      <c r="P20" s="84" t="str">
        <f aca="false">IF(AND($G20&lt;=P$7+6,$H20&gt;=P$7),"■","")</f>
        <v/>
      </c>
      <c r="Q20" s="84" t="str">
        <f aca="false">IF(AND($G20&lt;=Q$7+6,$H20&gt;=Q$7),"■","")</f>
        <v>■</v>
      </c>
      <c r="R20" s="84" t="str">
        <f aca="false">IF(AND($G20&lt;=R$7+6,$H20&gt;=R$7),"■","")</f>
        <v>■</v>
      </c>
      <c r="S20" s="84" t="str">
        <f aca="false">IF(AND($G20&lt;=S$7+6,$H20&gt;=S$7),"■","")</f>
        <v/>
      </c>
      <c r="T20" s="84" t="str">
        <f aca="false">IF(AND($G20&lt;=T$7+6,$H20&gt;=T$7),"■","")</f>
        <v/>
      </c>
      <c r="U20" s="84" t="str">
        <f aca="false">IF(AND($G20&lt;=U$7+6,$H20&gt;=U$7),"■","")</f>
        <v/>
      </c>
      <c r="V20" s="84" t="str">
        <f aca="false">IF(AND($G20&lt;=V$7+6,$H20&gt;=V$7),"■","")</f>
        <v/>
      </c>
      <c r="W20" s="84" t="str">
        <f aca="false">IF(AND($G20&lt;=W$7+6,$H20&gt;=W$7),"■","")</f>
        <v/>
      </c>
      <c r="X20" s="84" t="str">
        <f aca="false">IF(AND($G20&lt;=X$7+6,$H20&gt;=X$7),"■","")</f>
        <v/>
      </c>
      <c r="Z20" s="76"/>
      <c r="AA20" s="77"/>
    </row>
    <row r="21" customFormat="false" ht="39.75" hidden="false" customHeight="true" outlineLevel="0" collapsed="false">
      <c r="A21" s="70" t="s">
        <v>174</v>
      </c>
      <c r="B21" s="71" t="s">
        <v>175</v>
      </c>
      <c r="C21" s="72" t="s">
        <v>176</v>
      </c>
      <c r="D21" s="73" t="s">
        <v>177</v>
      </c>
      <c r="E21" s="86" t="s">
        <v>118</v>
      </c>
      <c r="F21" s="73" t="s">
        <v>178</v>
      </c>
      <c r="G21" s="74" t="n">
        <f aca="false">WORKDAY($B$4-1,28,$Z$9:$Z$30)</f>
        <v>46339</v>
      </c>
      <c r="H21" s="74" t="n">
        <f aca="false">WORKDAY($B$4-1,29,$Z$9:$Z$30)</f>
        <v>46342</v>
      </c>
      <c r="I21" s="74" t="s">
        <v>118</v>
      </c>
      <c r="J21" s="85" t="s">
        <v>169</v>
      </c>
      <c r="K21" s="71" t="s">
        <v>31</v>
      </c>
      <c r="L21" s="71" t="n">
        <f aca="false">NETWORKDAYS(G21,H21,$Z$9:$Z$30)</f>
        <v>2</v>
      </c>
      <c r="M21" s="75" t="str">
        <f aca="false">IF(AND($G21&lt;=M$7+6,$H21&gt;=M$7),"■","")</f>
        <v/>
      </c>
      <c r="N21" s="75" t="str">
        <f aca="false">IF(AND($G21&lt;=N$7+6,$H21&gt;=N$7),"■","")</f>
        <v/>
      </c>
      <c r="O21" s="75" t="str">
        <f aca="false">IF(AND($G21&lt;=O$7+6,$H21&gt;=O$7),"■","")</f>
        <v/>
      </c>
      <c r="P21" s="75" t="str">
        <f aca="false">IF(AND($G21&lt;=P$7+6,$H21&gt;=P$7),"■","")</f>
        <v/>
      </c>
      <c r="Q21" s="75" t="str">
        <f aca="false">IF(AND($G21&lt;=Q$7+6,$H21&gt;=Q$7),"■","")</f>
        <v/>
      </c>
      <c r="R21" s="75" t="str">
        <f aca="false">IF(AND($G21&lt;=R$7+6,$H21&gt;=R$7),"■","")</f>
        <v>■</v>
      </c>
      <c r="S21" s="75" t="str">
        <f aca="false">IF(AND($G21&lt;=S$7+6,$H21&gt;=S$7),"■","")</f>
        <v>■</v>
      </c>
      <c r="T21" s="75" t="str">
        <f aca="false">IF(AND($G21&lt;=T$7+6,$H21&gt;=T$7),"■","")</f>
        <v/>
      </c>
      <c r="U21" s="75" t="str">
        <f aca="false">IF(AND($G21&lt;=U$7+6,$H21&gt;=U$7),"■","")</f>
        <v/>
      </c>
      <c r="V21" s="75" t="str">
        <f aca="false">IF(AND($G21&lt;=V$7+6,$H21&gt;=V$7),"■","")</f>
        <v/>
      </c>
      <c r="W21" s="75" t="str">
        <f aca="false">IF(AND($G21&lt;=W$7+6,$H21&gt;=W$7),"■","")</f>
        <v/>
      </c>
      <c r="X21" s="75" t="str">
        <f aca="false">IF(AND($G21&lt;=X$7+6,$H21&gt;=X$7),"■","")</f>
        <v/>
      </c>
      <c r="Z21" s="76"/>
      <c r="AA21" s="77"/>
    </row>
    <row r="22" customFormat="false" ht="39.75" hidden="false" customHeight="true" outlineLevel="0" collapsed="false">
      <c r="A22" s="78" t="s">
        <v>179</v>
      </c>
      <c r="B22" s="79" t="s">
        <v>180</v>
      </c>
      <c r="C22" s="80" t="s">
        <v>181</v>
      </c>
      <c r="D22" s="81" t="s">
        <v>182</v>
      </c>
      <c r="E22" s="82" t="s">
        <v>118</v>
      </c>
      <c r="F22" s="82" t="s">
        <v>183</v>
      </c>
      <c r="G22" s="74" t="n">
        <f aca="false">WORKDAY($B$4-1,18,$Z$9:$Z$30)</f>
        <v>46324</v>
      </c>
      <c r="H22" s="74" t="n">
        <f aca="false">WORKDAY($B$4-1,24,$Z$9:$Z$30)</f>
        <v>46335</v>
      </c>
      <c r="I22" s="74" t="s">
        <v>118</v>
      </c>
      <c r="J22" s="83" t="s">
        <v>184</v>
      </c>
      <c r="K22" s="79" t="s">
        <v>31</v>
      </c>
      <c r="L22" s="79" t="n">
        <f aca="false">NETWORKDAYS(G22,H22,$Z$9:$Z$30)</f>
        <v>7</v>
      </c>
      <c r="M22" s="84" t="str">
        <f aca="false">IF(AND($G22&lt;=M$7+6,$H22&gt;=M$7),"■","")</f>
        <v/>
      </c>
      <c r="N22" s="84" t="str">
        <f aca="false">IF(AND($G22&lt;=N$7+6,$H22&gt;=N$7),"■","")</f>
        <v/>
      </c>
      <c r="O22" s="84" t="str">
        <f aca="false">IF(AND($G22&lt;=O$7+6,$H22&gt;=O$7),"■","")</f>
        <v/>
      </c>
      <c r="P22" s="84" t="str">
        <f aca="false">IF(AND($G22&lt;=P$7+6,$H22&gt;=P$7),"■","")</f>
        <v>■</v>
      </c>
      <c r="Q22" s="84" t="str">
        <f aca="false">IF(AND($G22&lt;=Q$7+6,$H22&gt;=Q$7),"■","")</f>
        <v>■</v>
      </c>
      <c r="R22" s="84" t="str">
        <f aca="false">IF(AND($G22&lt;=R$7+6,$H22&gt;=R$7),"■","")</f>
        <v>■</v>
      </c>
      <c r="S22" s="84" t="str">
        <f aca="false">IF(AND($G22&lt;=S$7+6,$H22&gt;=S$7),"■","")</f>
        <v/>
      </c>
      <c r="T22" s="84" t="str">
        <f aca="false">IF(AND($G22&lt;=T$7+6,$H22&gt;=T$7),"■","")</f>
        <v/>
      </c>
      <c r="U22" s="84" t="str">
        <f aca="false">IF(AND($G22&lt;=U$7+6,$H22&gt;=U$7),"■","")</f>
        <v/>
      </c>
      <c r="V22" s="84" t="str">
        <f aca="false">IF(AND($G22&lt;=V$7+6,$H22&gt;=V$7),"■","")</f>
        <v/>
      </c>
      <c r="W22" s="84" t="str">
        <f aca="false">IF(AND($G22&lt;=W$7+6,$H22&gt;=W$7),"■","")</f>
        <v/>
      </c>
      <c r="X22" s="84" t="str">
        <f aca="false">IF(AND($G22&lt;=X$7+6,$H22&gt;=X$7),"■","")</f>
        <v/>
      </c>
      <c r="Z22" s="76"/>
      <c r="AA22" s="77"/>
    </row>
    <row r="23" customFormat="false" ht="39.75" hidden="false" customHeight="true" outlineLevel="0" collapsed="false">
      <c r="A23" s="70" t="s">
        <v>185</v>
      </c>
      <c r="B23" s="71" t="s">
        <v>186</v>
      </c>
      <c r="C23" s="72" t="s">
        <v>29</v>
      </c>
      <c r="D23" s="73" t="s">
        <v>116</v>
      </c>
      <c r="E23" s="73" t="s">
        <v>187</v>
      </c>
      <c r="F23" s="73" t="s">
        <v>188</v>
      </c>
      <c r="G23" s="74" t="n">
        <f aca="false">WORKDAY($B$4-1,28,$Z$9:$Z$30)</f>
        <v>46339</v>
      </c>
      <c r="H23" s="74" t="n">
        <f aca="false">WORKDAY($B$4-1,32,$Z$9:$Z$30)</f>
        <v>46345</v>
      </c>
      <c r="I23" s="74" t="n">
        <f aca="false">WORKDAY($B$4-1,32,$Z$9:$Z$30)</f>
        <v>46345</v>
      </c>
      <c r="J23" s="85" t="s">
        <v>179</v>
      </c>
      <c r="K23" s="71" t="s">
        <v>31</v>
      </c>
      <c r="L23" s="71" t="n">
        <f aca="false">NETWORKDAYS(G23,H23,$Z$9:$Z$30)</f>
        <v>5</v>
      </c>
      <c r="M23" s="75" t="str">
        <f aca="false">IF(AND($G23&lt;=M$7+6,$H23&gt;=M$7),"■","")</f>
        <v/>
      </c>
      <c r="N23" s="75" t="str">
        <f aca="false">IF(AND($G23&lt;=N$7+6,$H23&gt;=N$7),"■","")</f>
        <v/>
      </c>
      <c r="O23" s="75" t="str">
        <f aca="false">IF(AND($G23&lt;=O$7+6,$H23&gt;=O$7),"■","")</f>
        <v/>
      </c>
      <c r="P23" s="75" t="str">
        <f aca="false">IF(AND($G23&lt;=P$7+6,$H23&gt;=P$7),"■","")</f>
        <v/>
      </c>
      <c r="Q23" s="75" t="str">
        <f aca="false">IF(AND($G23&lt;=Q$7+6,$H23&gt;=Q$7),"■","")</f>
        <v/>
      </c>
      <c r="R23" s="75" t="str">
        <f aca="false">IF(AND($G23&lt;=R$7+6,$H23&gt;=R$7),"■","")</f>
        <v>■</v>
      </c>
      <c r="S23" s="75" t="str">
        <f aca="false">IF(AND($G23&lt;=S$7+6,$H23&gt;=S$7),"■","")</f>
        <v>■</v>
      </c>
      <c r="T23" s="75" t="str">
        <f aca="false">IF(AND($G23&lt;=T$7+6,$H23&gt;=T$7),"■","")</f>
        <v/>
      </c>
      <c r="U23" s="75" t="str">
        <f aca="false">IF(AND($G23&lt;=U$7+6,$H23&gt;=U$7),"■","")</f>
        <v/>
      </c>
      <c r="V23" s="75" t="str">
        <f aca="false">IF(AND($G23&lt;=V$7+6,$H23&gt;=V$7),"■","")</f>
        <v/>
      </c>
      <c r="W23" s="75" t="str">
        <f aca="false">IF(AND($G23&lt;=W$7+6,$H23&gt;=W$7),"■","")</f>
        <v/>
      </c>
      <c r="X23" s="75" t="str">
        <f aca="false">IF(AND($G23&lt;=X$7+6,$H23&gt;=X$7),"■","")</f>
        <v/>
      </c>
      <c r="Z23" s="76"/>
      <c r="AA23" s="77"/>
    </row>
    <row r="24" customFormat="false" ht="39.75" hidden="false" customHeight="true" outlineLevel="0" collapsed="false">
      <c r="A24" s="78" t="s">
        <v>189</v>
      </c>
      <c r="B24" s="79" t="s">
        <v>180</v>
      </c>
      <c r="C24" s="80" t="s">
        <v>190</v>
      </c>
      <c r="D24" s="81" t="s">
        <v>182</v>
      </c>
      <c r="E24" s="82" t="s">
        <v>118</v>
      </c>
      <c r="F24" s="81" t="s">
        <v>191</v>
      </c>
      <c r="G24" s="74" t="n">
        <f aca="false">WORKDAY($B$4-1,33,$Z$9:$Z$30)</f>
        <v>46346</v>
      </c>
      <c r="H24" s="74" t="n">
        <f aca="false">WORKDAY($B$4-1,37,$Z$9:$Z$30)</f>
        <v>46353</v>
      </c>
      <c r="I24" s="74" t="s">
        <v>118</v>
      </c>
      <c r="J24" s="83" t="s">
        <v>192</v>
      </c>
      <c r="K24" s="79" t="s">
        <v>31</v>
      </c>
      <c r="L24" s="79" t="n">
        <f aca="false">NETWORKDAYS(G24,H24,$Z$9:$Z$30)</f>
        <v>5</v>
      </c>
      <c r="M24" s="84" t="str">
        <f aca="false">IF(AND($G24&lt;=M$7+6,$H24&gt;=M$7),"■","")</f>
        <v/>
      </c>
      <c r="N24" s="84" t="str">
        <f aca="false">IF(AND($G24&lt;=N$7+6,$H24&gt;=N$7),"■","")</f>
        <v/>
      </c>
      <c r="O24" s="84" t="str">
        <f aca="false">IF(AND($G24&lt;=O$7+6,$H24&gt;=O$7),"■","")</f>
        <v/>
      </c>
      <c r="P24" s="84" t="str">
        <f aca="false">IF(AND($G24&lt;=P$7+6,$H24&gt;=P$7),"■","")</f>
        <v/>
      </c>
      <c r="Q24" s="84" t="str">
        <f aca="false">IF(AND($G24&lt;=Q$7+6,$H24&gt;=Q$7),"■","")</f>
        <v/>
      </c>
      <c r="R24" s="84" t="str">
        <f aca="false">IF(AND($G24&lt;=R$7+6,$H24&gt;=R$7),"■","")</f>
        <v/>
      </c>
      <c r="S24" s="84" t="str">
        <f aca="false">IF(AND($G24&lt;=S$7+6,$H24&gt;=S$7),"■","")</f>
        <v>■</v>
      </c>
      <c r="T24" s="84" t="str">
        <f aca="false">IF(AND($G24&lt;=T$7+6,$H24&gt;=T$7),"■","")</f>
        <v>■</v>
      </c>
      <c r="U24" s="84" t="str">
        <f aca="false">IF(AND($G24&lt;=U$7+6,$H24&gt;=U$7),"■","")</f>
        <v/>
      </c>
      <c r="V24" s="84" t="str">
        <f aca="false">IF(AND($G24&lt;=V$7+6,$H24&gt;=V$7),"■","")</f>
        <v/>
      </c>
      <c r="W24" s="84" t="str">
        <f aca="false">IF(AND($G24&lt;=W$7+6,$H24&gt;=W$7),"■","")</f>
        <v/>
      </c>
      <c r="X24" s="84" t="str">
        <f aca="false">IF(AND($G24&lt;=X$7+6,$H24&gt;=X$7),"■","")</f>
        <v/>
      </c>
      <c r="Z24" s="76"/>
      <c r="AA24" s="77"/>
    </row>
    <row r="25" customFormat="false" ht="39.75" hidden="false" customHeight="true" outlineLevel="0" collapsed="false">
      <c r="A25" s="70" t="s">
        <v>193</v>
      </c>
      <c r="B25" s="71" t="s">
        <v>194</v>
      </c>
      <c r="C25" s="72" t="s">
        <v>195</v>
      </c>
      <c r="D25" s="73" t="s">
        <v>196</v>
      </c>
      <c r="E25" s="86" t="s">
        <v>118</v>
      </c>
      <c r="F25" s="73" t="s">
        <v>197</v>
      </c>
      <c r="G25" s="74" t="n">
        <f aca="false">WORKDAY($B$4-1,38,$Z$9:$Z$30)</f>
        <v>46356</v>
      </c>
      <c r="H25" s="74" t="n">
        <f aca="false">WORKDAY($B$4-1,45,$Z$9:$Z$30)</f>
        <v>46365</v>
      </c>
      <c r="I25" s="74" t="s">
        <v>118</v>
      </c>
      <c r="J25" s="85" t="s">
        <v>189</v>
      </c>
      <c r="K25" s="71" t="s">
        <v>31</v>
      </c>
      <c r="L25" s="71" t="n">
        <f aca="false">NETWORKDAYS(G25,H25,$Z$9:$Z$30)</f>
        <v>8</v>
      </c>
      <c r="M25" s="75" t="str">
        <f aca="false">IF(AND($G25&lt;=M$7+6,$H25&gt;=M$7),"■","")</f>
        <v/>
      </c>
      <c r="N25" s="75" t="str">
        <f aca="false">IF(AND($G25&lt;=N$7+6,$H25&gt;=N$7),"■","")</f>
        <v/>
      </c>
      <c r="O25" s="75" t="str">
        <f aca="false">IF(AND($G25&lt;=O$7+6,$H25&gt;=O$7),"■","")</f>
        <v/>
      </c>
      <c r="P25" s="75" t="str">
        <f aca="false">IF(AND($G25&lt;=P$7+6,$H25&gt;=P$7),"■","")</f>
        <v/>
      </c>
      <c r="Q25" s="75" t="str">
        <f aca="false">IF(AND($G25&lt;=Q$7+6,$H25&gt;=Q$7),"■","")</f>
        <v/>
      </c>
      <c r="R25" s="75" t="str">
        <f aca="false">IF(AND($G25&lt;=R$7+6,$H25&gt;=R$7),"■","")</f>
        <v/>
      </c>
      <c r="S25" s="75" t="str">
        <f aca="false">IF(AND($G25&lt;=S$7+6,$H25&gt;=S$7),"■","")</f>
        <v/>
      </c>
      <c r="T25" s="75" t="str">
        <f aca="false">IF(AND($G25&lt;=T$7+6,$H25&gt;=T$7),"■","")</f>
        <v/>
      </c>
      <c r="U25" s="75" t="str">
        <f aca="false">IF(AND($G25&lt;=U$7+6,$H25&gt;=U$7),"■","")</f>
        <v>■</v>
      </c>
      <c r="V25" s="75" t="str">
        <f aca="false">IF(AND($G25&lt;=V$7+6,$H25&gt;=V$7),"■","")</f>
        <v>■</v>
      </c>
      <c r="W25" s="75" t="str">
        <f aca="false">IF(AND($G25&lt;=W$7+6,$H25&gt;=W$7),"■","")</f>
        <v/>
      </c>
      <c r="X25" s="75" t="str">
        <f aca="false">IF(AND($G25&lt;=X$7+6,$H25&gt;=X$7),"■","")</f>
        <v/>
      </c>
      <c r="Z25" s="76"/>
      <c r="AA25" s="77"/>
    </row>
    <row r="26" customFormat="false" ht="39.75" hidden="false" customHeight="true" outlineLevel="0" collapsed="false">
      <c r="A26" s="78" t="s">
        <v>198</v>
      </c>
      <c r="B26" s="79" t="s">
        <v>199</v>
      </c>
      <c r="C26" s="80" t="s">
        <v>200</v>
      </c>
      <c r="D26" s="81" t="s">
        <v>201</v>
      </c>
      <c r="E26" s="82" t="s">
        <v>118</v>
      </c>
      <c r="F26" s="81" t="s">
        <v>202</v>
      </c>
      <c r="G26" s="74" t="n">
        <f aca="false">WORKDAY($B$4-1,46,$Z$9:$Z$30)</f>
        <v>46366</v>
      </c>
      <c r="H26" s="74" t="n">
        <f aca="false">WORKDAY($B$4-1,47,$Z$9:$Z$30)</f>
        <v>46367</v>
      </c>
      <c r="I26" s="74" t="s">
        <v>118</v>
      </c>
      <c r="J26" s="83" t="s">
        <v>193</v>
      </c>
      <c r="K26" s="79" t="s">
        <v>31</v>
      </c>
      <c r="L26" s="79" t="n">
        <f aca="false">NETWORKDAYS(G26,H26,$Z$9:$Z$30)</f>
        <v>2</v>
      </c>
      <c r="M26" s="84" t="str">
        <f aca="false">IF(AND($G26&lt;=M$7+6,$H26&gt;=M$7),"■","")</f>
        <v/>
      </c>
      <c r="N26" s="84" t="str">
        <f aca="false">IF(AND($G26&lt;=N$7+6,$H26&gt;=N$7),"■","")</f>
        <v/>
      </c>
      <c r="O26" s="84" t="str">
        <f aca="false">IF(AND($G26&lt;=O$7+6,$H26&gt;=O$7),"■","")</f>
        <v/>
      </c>
      <c r="P26" s="84" t="str">
        <f aca="false">IF(AND($G26&lt;=P$7+6,$H26&gt;=P$7),"■","")</f>
        <v/>
      </c>
      <c r="Q26" s="84" t="str">
        <f aca="false">IF(AND($G26&lt;=Q$7+6,$H26&gt;=Q$7),"■","")</f>
        <v/>
      </c>
      <c r="R26" s="84" t="str">
        <f aca="false">IF(AND($G26&lt;=R$7+6,$H26&gt;=R$7),"■","")</f>
        <v/>
      </c>
      <c r="S26" s="84" t="str">
        <f aca="false">IF(AND($G26&lt;=S$7+6,$H26&gt;=S$7),"■","")</f>
        <v/>
      </c>
      <c r="T26" s="84" t="str">
        <f aca="false">IF(AND($G26&lt;=T$7+6,$H26&gt;=T$7),"■","")</f>
        <v/>
      </c>
      <c r="U26" s="84" t="str">
        <f aca="false">IF(AND($G26&lt;=U$7+6,$H26&gt;=U$7),"■","")</f>
        <v/>
      </c>
      <c r="V26" s="84" t="str">
        <f aca="false">IF(AND($G26&lt;=V$7+6,$H26&gt;=V$7),"■","")</f>
        <v>■</v>
      </c>
      <c r="W26" s="84" t="str">
        <f aca="false">IF(AND($G26&lt;=W$7+6,$H26&gt;=W$7),"■","")</f>
        <v/>
      </c>
      <c r="X26" s="84" t="str">
        <f aca="false">IF(AND($G26&lt;=X$7+6,$H26&gt;=X$7),"■","")</f>
        <v/>
      </c>
      <c r="Z26" s="76"/>
      <c r="AA26" s="77"/>
    </row>
    <row r="27" customFormat="false" ht="39.75" hidden="false" customHeight="true" outlineLevel="0" collapsed="false">
      <c r="A27" s="70" t="s">
        <v>203</v>
      </c>
      <c r="B27" s="71" t="s">
        <v>204</v>
      </c>
      <c r="C27" s="72" t="s">
        <v>32</v>
      </c>
      <c r="D27" s="73" t="s">
        <v>116</v>
      </c>
      <c r="E27" s="73" t="s">
        <v>205</v>
      </c>
      <c r="F27" s="73" t="s">
        <v>206</v>
      </c>
      <c r="G27" s="74" t="n">
        <f aca="false">WORKDAY($B$4-1,48,$Z$9:$Z$30)</f>
        <v>46370</v>
      </c>
      <c r="H27" s="74" t="n">
        <f aca="false">WORKDAY($B$4-1,52,$Z$9:$Z$30)</f>
        <v>46374</v>
      </c>
      <c r="I27" s="74" t="n">
        <f aca="false">WORKDAY($B$4-1,52,$Z$9:$Z$30)</f>
        <v>46374</v>
      </c>
      <c r="J27" s="85" t="s">
        <v>198</v>
      </c>
      <c r="K27" s="71" t="s">
        <v>31</v>
      </c>
      <c r="L27" s="71" t="n">
        <f aca="false">NETWORKDAYS(G27,H27,$Z$9:$Z$30)</f>
        <v>5</v>
      </c>
      <c r="M27" s="75" t="str">
        <f aca="false">IF(AND($G27&lt;=M$7+6,$H27&gt;=M$7),"■","")</f>
        <v/>
      </c>
      <c r="N27" s="75" t="str">
        <f aca="false">IF(AND($G27&lt;=N$7+6,$H27&gt;=N$7),"■","")</f>
        <v/>
      </c>
      <c r="O27" s="75" t="str">
        <f aca="false">IF(AND($G27&lt;=O$7+6,$H27&gt;=O$7),"■","")</f>
        <v/>
      </c>
      <c r="P27" s="75" t="str">
        <f aca="false">IF(AND($G27&lt;=P$7+6,$H27&gt;=P$7),"■","")</f>
        <v/>
      </c>
      <c r="Q27" s="75" t="str">
        <f aca="false">IF(AND($G27&lt;=Q$7+6,$H27&gt;=Q$7),"■","")</f>
        <v/>
      </c>
      <c r="R27" s="75" t="str">
        <f aca="false">IF(AND($G27&lt;=R$7+6,$H27&gt;=R$7),"■","")</f>
        <v/>
      </c>
      <c r="S27" s="75" t="str">
        <f aca="false">IF(AND($G27&lt;=S$7+6,$H27&gt;=S$7),"■","")</f>
        <v/>
      </c>
      <c r="T27" s="75" t="str">
        <f aca="false">IF(AND($G27&lt;=T$7+6,$H27&gt;=T$7),"■","")</f>
        <v/>
      </c>
      <c r="U27" s="75" t="str">
        <f aca="false">IF(AND($G27&lt;=U$7+6,$H27&gt;=U$7),"■","")</f>
        <v/>
      </c>
      <c r="V27" s="75" t="str">
        <f aca="false">IF(AND($G27&lt;=V$7+6,$H27&gt;=V$7),"■","")</f>
        <v/>
      </c>
      <c r="W27" s="75" t="str">
        <f aca="false">IF(AND($G27&lt;=W$7+6,$H27&gt;=W$7),"■","")</f>
        <v>■</v>
      </c>
      <c r="X27" s="75" t="str">
        <f aca="false">IF(AND($G27&lt;=X$7+6,$H27&gt;=X$7),"■","")</f>
        <v/>
      </c>
      <c r="Z27" s="76"/>
      <c r="AA27" s="77"/>
    </row>
    <row r="28" customFormat="false" ht="39.75" hidden="false" customHeight="true" outlineLevel="0" collapsed="false">
      <c r="A28" s="78" t="s">
        <v>207</v>
      </c>
      <c r="B28" s="79" t="s">
        <v>208</v>
      </c>
      <c r="C28" s="80" t="s">
        <v>209</v>
      </c>
      <c r="D28" s="81" t="s">
        <v>196</v>
      </c>
      <c r="E28" s="82" t="s">
        <v>118</v>
      </c>
      <c r="F28" s="81" t="s">
        <v>210</v>
      </c>
      <c r="G28" s="74" t="n">
        <f aca="false">WORKDAY($B$4-1,53,$Z$9:$Z$30)</f>
        <v>46377</v>
      </c>
      <c r="H28" s="74" t="n">
        <f aca="false">WORKDAY($B$4-1,54,$Z$9:$Z$30)</f>
        <v>46378</v>
      </c>
      <c r="I28" s="74" t="s">
        <v>118</v>
      </c>
      <c r="J28" s="83" t="s">
        <v>203</v>
      </c>
      <c r="K28" s="79" t="s">
        <v>31</v>
      </c>
      <c r="L28" s="79" t="n">
        <f aca="false">NETWORKDAYS(G28,H28,$Z$9:$Z$30)</f>
        <v>2</v>
      </c>
      <c r="M28" s="84" t="str">
        <f aca="false">IF(AND($G28&lt;=M$7+6,$H28&gt;=M$7),"■","")</f>
        <v/>
      </c>
      <c r="N28" s="84" t="str">
        <f aca="false">IF(AND($G28&lt;=N$7+6,$H28&gt;=N$7),"■","")</f>
        <v/>
      </c>
      <c r="O28" s="84" t="str">
        <f aca="false">IF(AND($G28&lt;=O$7+6,$H28&gt;=O$7),"■","")</f>
        <v/>
      </c>
      <c r="P28" s="84" t="str">
        <f aca="false">IF(AND($G28&lt;=P$7+6,$H28&gt;=P$7),"■","")</f>
        <v/>
      </c>
      <c r="Q28" s="84" t="str">
        <f aca="false">IF(AND($G28&lt;=Q$7+6,$H28&gt;=Q$7),"■","")</f>
        <v/>
      </c>
      <c r="R28" s="84" t="str">
        <f aca="false">IF(AND($G28&lt;=R$7+6,$H28&gt;=R$7),"■","")</f>
        <v/>
      </c>
      <c r="S28" s="84" t="str">
        <f aca="false">IF(AND($G28&lt;=S$7+6,$H28&gt;=S$7),"■","")</f>
        <v/>
      </c>
      <c r="T28" s="84" t="str">
        <f aca="false">IF(AND($G28&lt;=T$7+6,$H28&gt;=T$7),"■","")</f>
        <v/>
      </c>
      <c r="U28" s="84" t="str">
        <f aca="false">IF(AND($G28&lt;=U$7+6,$H28&gt;=U$7),"■","")</f>
        <v/>
      </c>
      <c r="V28" s="84" t="str">
        <f aca="false">IF(AND($G28&lt;=V$7+6,$H28&gt;=V$7),"■","")</f>
        <v/>
      </c>
      <c r="W28" s="84" t="str">
        <f aca="false">IF(AND($G28&lt;=W$7+6,$H28&gt;=W$7),"■","")</f>
        <v/>
      </c>
      <c r="X28" s="84" t="str">
        <f aca="false">IF(AND($G28&lt;=X$7+6,$H28&gt;=X$7),"■","")</f>
        <v>■</v>
      </c>
      <c r="Z28" s="76"/>
      <c r="AA28" s="77"/>
    </row>
    <row r="29" customFormat="false" ht="39.75" hidden="false" customHeight="true" outlineLevel="0" collapsed="false">
      <c r="A29" s="70" t="s">
        <v>211</v>
      </c>
      <c r="B29" s="71" t="s">
        <v>35</v>
      </c>
      <c r="C29" s="72" t="s">
        <v>212</v>
      </c>
      <c r="D29" s="73" t="s">
        <v>196</v>
      </c>
      <c r="E29" s="73" t="s">
        <v>116</v>
      </c>
      <c r="F29" s="73" t="s">
        <v>213</v>
      </c>
      <c r="G29" s="74" t="n">
        <f aca="false">WORKDAY($B$4-1,55,$Z$9:$Z$30)</f>
        <v>46379</v>
      </c>
      <c r="H29" s="74" t="n">
        <f aca="false">WORKDAY($B$4-1,55,$Z$9:$Z$30)</f>
        <v>46379</v>
      </c>
      <c r="I29" s="74" t="s">
        <v>118</v>
      </c>
      <c r="J29" s="85" t="s">
        <v>207</v>
      </c>
      <c r="K29" s="71" t="s">
        <v>31</v>
      </c>
      <c r="L29" s="71" t="n">
        <f aca="false">NETWORKDAYS(G29,H29,$Z$9:$Z$30)</f>
        <v>1</v>
      </c>
      <c r="M29" s="75" t="str">
        <f aca="false">IF(AND($G29&lt;=M$7+6,$H29&gt;=M$7),"■","")</f>
        <v/>
      </c>
      <c r="N29" s="75" t="str">
        <f aca="false">IF(AND($G29&lt;=N$7+6,$H29&gt;=N$7),"■","")</f>
        <v/>
      </c>
      <c r="O29" s="75" t="str">
        <f aca="false">IF(AND($G29&lt;=O$7+6,$H29&gt;=O$7),"■","")</f>
        <v/>
      </c>
      <c r="P29" s="75" t="str">
        <f aca="false">IF(AND($G29&lt;=P$7+6,$H29&gt;=P$7),"■","")</f>
        <v/>
      </c>
      <c r="Q29" s="75" t="str">
        <f aca="false">IF(AND($G29&lt;=Q$7+6,$H29&gt;=Q$7),"■","")</f>
        <v/>
      </c>
      <c r="R29" s="75" t="str">
        <f aca="false">IF(AND($G29&lt;=R$7+6,$H29&gt;=R$7),"■","")</f>
        <v/>
      </c>
      <c r="S29" s="75" t="str">
        <f aca="false">IF(AND($G29&lt;=S$7+6,$H29&gt;=S$7),"■","")</f>
        <v/>
      </c>
      <c r="T29" s="75" t="str">
        <f aca="false">IF(AND($G29&lt;=T$7+6,$H29&gt;=T$7),"■","")</f>
        <v/>
      </c>
      <c r="U29" s="75" t="str">
        <f aca="false">IF(AND($G29&lt;=U$7+6,$H29&gt;=U$7),"■","")</f>
        <v/>
      </c>
      <c r="V29" s="75" t="str">
        <f aca="false">IF(AND($G29&lt;=V$7+6,$H29&gt;=V$7),"■","")</f>
        <v/>
      </c>
      <c r="W29" s="75" t="str">
        <f aca="false">IF(AND($G29&lt;=W$7+6,$H29&gt;=W$7),"■","")</f>
        <v/>
      </c>
      <c r="X29" s="75" t="str">
        <f aca="false">IF(AND($G29&lt;=X$7+6,$H29&gt;=X$7),"■","")</f>
        <v>■</v>
      </c>
      <c r="Z29" s="76"/>
      <c r="AA29" s="77"/>
    </row>
    <row r="30" customFormat="false" ht="15" hidden="false" customHeight="false" outlineLevel="0" collapsed="false">
      <c r="Z30" s="76"/>
      <c r="AA30" s="77"/>
    </row>
  </sheetData>
  <mergeCells count="2">
    <mergeCell ref="A5:T5"/>
    <mergeCell ref="A6:T6"/>
  </mergeCells>
  <conditionalFormatting sqref="M9:X29">
    <cfRule type="expression" priority="2" aboveAverage="0" equalAverage="0" bottom="0" percent="0" rank="0" text="" dxfId="16">
      <formula>AND(M9="■",OR($D9="採用担当",$D9="総務窓口",$D9="工場長"))</formula>
    </cfRule>
    <cfRule type="expression" priority="3" aboveAverage="0" equalAverage="0" bottom="0" percent="0" rank="0" text="" dxfId="17">
      <formula>AND(M9="■",$B9="取材撮影")</formula>
    </cfRule>
    <cfRule type="expression" priority="4" aboveAverage="0" equalAverage="0" bottom="0" percent="0" rank="0" text="" dxfId="18">
      <formula>M9="■"</formula>
    </cfRule>
  </conditionalFormatting>
  <conditionalFormatting sqref="K9:K29">
    <cfRule type="cellIs" priority="5" operator="equal" aboveAverage="0" equalAverage="0" bottom="0" percent="0" rank="0" text="" dxfId="9">
      <formula>"未着手"</formula>
    </cfRule>
    <cfRule type="cellIs" priority="6" operator="equal" aboveAverage="0" equalAverage="0" bottom="0" percent="0" rank="0" text="" dxfId="10">
      <formula>"進行中"</formula>
    </cfRule>
    <cfRule type="cellIs" priority="7" operator="equal" aboveAverage="0" equalAverage="0" bottom="0" percent="0" rank="0" text="" dxfId="11">
      <formula>"確認待ち"</formula>
    </cfRule>
    <cfRule type="cellIs" priority="8" operator="equal" aboveAverage="0" equalAverage="0" bottom="0" percent="0" rank="0" text="" dxfId="12">
      <formula>"完了"</formula>
    </cfRule>
    <cfRule type="cellIs" priority="9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K9:K28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M4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5"/>
    <col collapsed="false" customWidth="true" hidden="false" outlineLevel="0" max="2" min="2" style="0" width="26.88"/>
    <col collapsed="false" customWidth="true" hidden="false" outlineLevel="0" max="3" min="3" style="0" width="21.25"/>
    <col collapsed="false" customWidth="true" hidden="false" outlineLevel="0" max="4" min="4" style="0" width="23.13"/>
    <col collapsed="false" customWidth="true" hidden="false" outlineLevel="0" max="5" min="5" style="0" width="12.5"/>
    <col collapsed="false" customWidth="true" hidden="false" outlineLevel="0" max="6" min="6" style="0" width="29.38"/>
    <col collapsed="false" customWidth="true" hidden="false" outlineLevel="0" max="7" min="7" style="0" width="19.38"/>
    <col collapsed="false" customWidth="true" hidden="false" outlineLevel="0" max="8" min="8" style="0" width="18.75"/>
    <col collapsed="false" customWidth="true" hidden="false" outlineLevel="0" max="9" min="9" style="0" width="10"/>
    <col collapsed="false" customWidth="true" hidden="false" outlineLevel="0" max="10" min="10" style="0" width="23.75"/>
    <col collapsed="false" customWidth="true" hidden="false" outlineLevel="0" max="11" min="11" style="0" width="29.38"/>
    <col collapsed="false" customWidth="true" hidden="false" outlineLevel="0" max="13" min="12" style="0" width="12.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customFormat="false" ht="36" hidden="false" customHeight="true" outlineLevel="0" collapsed="false">
      <c r="A2" s="28" t="s">
        <v>214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customFormat="false" ht="18" hidden="false" customHeight="true" outlineLevel="0" collapsed="false">
      <c r="A3" s="60" t="s">
        <v>215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customFormat="false" ht="24.75" hidden="false" customHeight="true" outlineLevel="0" collapsed="false">
      <c r="A4" s="65" t="s">
        <v>216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customFormat="false" ht="24.75" hidden="false" customHeight="true" outlineLevel="0" collapsed="false">
      <c r="A5" s="65" t="s">
        <v>217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customFormat="false" ht="24.75" hidden="false" customHeight="true" outlineLevel="0" collapsed="false">
      <c r="A6" s="65" t="s">
        <v>218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customFormat="false" ht="33.75" hidden="false" customHeight="true" outlineLevel="0" collapsed="false">
      <c r="A8" s="8" t="s">
        <v>219</v>
      </c>
      <c r="B8" s="8" t="s">
        <v>220</v>
      </c>
      <c r="C8" s="8" t="s">
        <v>221</v>
      </c>
      <c r="D8" s="8" t="s">
        <v>222</v>
      </c>
      <c r="E8" s="8" t="s">
        <v>223</v>
      </c>
      <c r="F8" s="8" t="s">
        <v>224</v>
      </c>
      <c r="G8" s="8" t="s">
        <v>225</v>
      </c>
      <c r="H8" s="8" t="s">
        <v>226</v>
      </c>
      <c r="I8" s="8" t="s">
        <v>227</v>
      </c>
      <c r="J8" s="8" t="s">
        <v>228</v>
      </c>
      <c r="K8" s="8" t="s">
        <v>229</v>
      </c>
      <c r="L8" s="8" t="s">
        <v>230</v>
      </c>
      <c r="M8" s="8" t="s">
        <v>231</v>
      </c>
    </row>
    <row r="9" customFormat="false" ht="39.75" hidden="false" customHeight="true" outlineLevel="0" collapsed="false">
      <c r="A9" s="87" t="s">
        <v>232</v>
      </c>
      <c r="B9" s="72" t="s">
        <v>233</v>
      </c>
      <c r="C9" s="73" t="s">
        <v>234</v>
      </c>
      <c r="D9" s="73" t="s">
        <v>235</v>
      </c>
      <c r="E9" s="85" t="s">
        <v>236</v>
      </c>
      <c r="F9" s="73" t="s">
        <v>237</v>
      </c>
      <c r="G9" s="73" t="s">
        <v>119</v>
      </c>
      <c r="H9" s="73" t="s">
        <v>238</v>
      </c>
      <c r="I9" s="85" t="s">
        <v>239</v>
      </c>
      <c r="J9" s="73" t="s">
        <v>240</v>
      </c>
      <c r="K9" s="73" t="s">
        <v>241</v>
      </c>
      <c r="L9" s="71" t="s">
        <v>242</v>
      </c>
      <c r="M9" s="71" t="s">
        <v>243</v>
      </c>
    </row>
    <row r="10" customFormat="false" ht="39.75" hidden="false" customHeight="true" outlineLevel="0" collapsed="false">
      <c r="A10" s="88" t="s">
        <v>244</v>
      </c>
      <c r="B10" s="80" t="s">
        <v>245</v>
      </c>
      <c r="C10" s="81" t="s">
        <v>246</v>
      </c>
      <c r="D10" s="81" t="s">
        <v>247</v>
      </c>
      <c r="E10" s="83" t="s">
        <v>236</v>
      </c>
      <c r="F10" s="81" t="s">
        <v>248</v>
      </c>
      <c r="G10" s="81" t="s">
        <v>119</v>
      </c>
      <c r="H10" s="81" t="s">
        <v>238</v>
      </c>
      <c r="I10" s="83" t="s">
        <v>239</v>
      </c>
      <c r="J10" s="82" t="s">
        <v>249</v>
      </c>
      <c r="K10" s="81" t="s">
        <v>250</v>
      </c>
      <c r="L10" s="79" t="s">
        <v>242</v>
      </c>
      <c r="M10" s="79" t="s">
        <v>243</v>
      </c>
    </row>
    <row r="11" customFormat="false" ht="39.75" hidden="false" customHeight="true" outlineLevel="0" collapsed="false">
      <c r="A11" s="87" t="s">
        <v>251</v>
      </c>
      <c r="B11" s="72" t="s">
        <v>252</v>
      </c>
      <c r="C11" s="73" t="s">
        <v>246</v>
      </c>
      <c r="D11" s="73" t="s">
        <v>253</v>
      </c>
      <c r="E11" s="85" t="s">
        <v>254</v>
      </c>
      <c r="F11" s="73" t="s">
        <v>255</v>
      </c>
      <c r="G11" s="73" t="s">
        <v>119</v>
      </c>
      <c r="H11" s="73" t="s">
        <v>256</v>
      </c>
      <c r="I11" s="85" t="s">
        <v>257</v>
      </c>
      <c r="J11" s="73" t="s">
        <v>258</v>
      </c>
      <c r="K11" s="73" t="s">
        <v>259</v>
      </c>
      <c r="L11" s="71" t="s">
        <v>242</v>
      </c>
      <c r="M11" s="71" t="s">
        <v>243</v>
      </c>
    </row>
    <row r="12" customFormat="false" ht="39.75" hidden="false" customHeight="true" outlineLevel="0" collapsed="false">
      <c r="A12" s="88" t="s">
        <v>260</v>
      </c>
      <c r="B12" s="80" t="s">
        <v>261</v>
      </c>
      <c r="C12" s="81" t="s">
        <v>262</v>
      </c>
      <c r="D12" s="81" t="s">
        <v>263</v>
      </c>
      <c r="E12" s="83" t="s">
        <v>236</v>
      </c>
      <c r="F12" s="81" t="s">
        <v>264</v>
      </c>
      <c r="G12" s="81" t="s">
        <v>265</v>
      </c>
      <c r="H12" s="81" t="s">
        <v>266</v>
      </c>
      <c r="I12" s="83" t="s">
        <v>267</v>
      </c>
      <c r="J12" s="81" t="s">
        <v>268</v>
      </c>
      <c r="K12" s="81" t="s">
        <v>269</v>
      </c>
      <c r="L12" s="79" t="s">
        <v>242</v>
      </c>
      <c r="M12" s="79" t="s">
        <v>243</v>
      </c>
    </row>
    <row r="13" customFormat="false" ht="39.75" hidden="false" customHeight="true" outlineLevel="0" collapsed="false">
      <c r="A13" s="87" t="s">
        <v>270</v>
      </c>
      <c r="B13" s="72" t="s">
        <v>271</v>
      </c>
      <c r="C13" s="73" t="s">
        <v>272</v>
      </c>
      <c r="D13" s="73" t="s">
        <v>273</v>
      </c>
      <c r="E13" s="85" t="s">
        <v>236</v>
      </c>
      <c r="F13" s="73" t="s">
        <v>274</v>
      </c>
      <c r="G13" s="73" t="s">
        <v>275</v>
      </c>
      <c r="H13" s="73" t="s">
        <v>276</v>
      </c>
      <c r="I13" s="85" t="s">
        <v>277</v>
      </c>
      <c r="J13" s="73" t="s">
        <v>278</v>
      </c>
      <c r="K13" s="86" t="s">
        <v>279</v>
      </c>
      <c r="L13" s="71" t="s">
        <v>242</v>
      </c>
      <c r="M13" s="71" t="s">
        <v>243</v>
      </c>
    </row>
    <row r="14" customFormat="false" ht="39.75" hidden="false" customHeight="true" outlineLevel="0" collapsed="false">
      <c r="A14" s="88" t="s">
        <v>280</v>
      </c>
      <c r="B14" s="80" t="s">
        <v>281</v>
      </c>
      <c r="C14" s="81" t="s">
        <v>282</v>
      </c>
      <c r="D14" s="82" t="s">
        <v>283</v>
      </c>
      <c r="E14" s="83" t="s">
        <v>236</v>
      </c>
      <c r="F14" s="81" t="s">
        <v>284</v>
      </c>
      <c r="G14" s="81" t="s">
        <v>285</v>
      </c>
      <c r="H14" s="81" t="s">
        <v>286</v>
      </c>
      <c r="I14" s="83" t="s">
        <v>287</v>
      </c>
      <c r="J14" s="81" t="s">
        <v>288</v>
      </c>
      <c r="K14" s="81" t="s">
        <v>289</v>
      </c>
      <c r="L14" s="79" t="s">
        <v>242</v>
      </c>
      <c r="M14" s="79" t="s">
        <v>243</v>
      </c>
    </row>
    <row r="15" customFormat="false" ht="39.75" hidden="false" customHeight="true" outlineLevel="0" collapsed="false">
      <c r="A15" s="87" t="s">
        <v>290</v>
      </c>
      <c r="B15" s="72" t="s">
        <v>291</v>
      </c>
      <c r="C15" s="73" t="s">
        <v>292</v>
      </c>
      <c r="D15" s="73" t="s">
        <v>293</v>
      </c>
      <c r="E15" s="85" t="s">
        <v>236</v>
      </c>
      <c r="F15" s="86" t="s">
        <v>294</v>
      </c>
      <c r="G15" s="73" t="s">
        <v>295</v>
      </c>
      <c r="H15" s="73" t="s">
        <v>256</v>
      </c>
      <c r="I15" s="85" t="s">
        <v>257</v>
      </c>
      <c r="J15" s="73" t="s">
        <v>296</v>
      </c>
      <c r="K15" s="73" t="s">
        <v>297</v>
      </c>
      <c r="L15" s="71" t="s">
        <v>242</v>
      </c>
      <c r="M15" s="71" t="s">
        <v>243</v>
      </c>
    </row>
    <row r="16" customFormat="false" ht="39.75" hidden="false" customHeight="true" outlineLevel="0" collapsed="false">
      <c r="A16" s="88" t="s">
        <v>298</v>
      </c>
      <c r="B16" s="80" t="s">
        <v>299</v>
      </c>
      <c r="C16" s="81" t="s">
        <v>300</v>
      </c>
      <c r="D16" s="81" t="s">
        <v>301</v>
      </c>
      <c r="E16" s="83" t="s">
        <v>254</v>
      </c>
      <c r="F16" s="81" t="s">
        <v>302</v>
      </c>
      <c r="G16" s="81" t="s">
        <v>303</v>
      </c>
      <c r="H16" s="81" t="s">
        <v>266</v>
      </c>
      <c r="I16" s="83" t="s">
        <v>304</v>
      </c>
      <c r="J16" s="81" t="s">
        <v>305</v>
      </c>
      <c r="K16" s="81" t="s">
        <v>306</v>
      </c>
      <c r="L16" s="79" t="s">
        <v>242</v>
      </c>
      <c r="M16" s="79" t="s">
        <v>243</v>
      </c>
    </row>
    <row r="17" customFormat="false" ht="39.75" hidden="false" customHeight="true" outlineLevel="0" collapsed="false">
      <c r="A17" s="87" t="s">
        <v>307</v>
      </c>
      <c r="B17" s="72" t="s">
        <v>308</v>
      </c>
      <c r="C17" s="73" t="s">
        <v>309</v>
      </c>
      <c r="D17" s="73" t="s">
        <v>310</v>
      </c>
      <c r="E17" s="85" t="s">
        <v>236</v>
      </c>
      <c r="F17" s="73" t="s">
        <v>311</v>
      </c>
      <c r="G17" s="73" t="s">
        <v>312</v>
      </c>
      <c r="H17" s="73" t="s">
        <v>313</v>
      </c>
      <c r="I17" s="85" t="s">
        <v>314</v>
      </c>
      <c r="J17" s="73" t="s">
        <v>315</v>
      </c>
      <c r="K17" s="73" t="s">
        <v>316</v>
      </c>
      <c r="L17" s="71" t="s">
        <v>242</v>
      </c>
      <c r="M17" s="71" t="s">
        <v>243</v>
      </c>
    </row>
    <row r="18" customFormat="false" ht="39.75" hidden="false" customHeight="true" outlineLevel="0" collapsed="false">
      <c r="A18" s="88" t="s">
        <v>317</v>
      </c>
      <c r="B18" s="80" t="s">
        <v>318</v>
      </c>
      <c r="C18" s="81" t="s">
        <v>319</v>
      </c>
      <c r="D18" s="81" t="s">
        <v>320</v>
      </c>
      <c r="E18" s="79" t="s">
        <v>321</v>
      </c>
      <c r="F18" s="81" t="s">
        <v>322</v>
      </c>
      <c r="G18" s="81" t="s">
        <v>119</v>
      </c>
      <c r="H18" s="81" t="s">
        <v>323</v>
      </c>
      <c r="I18" s="83" t="s">
        <v>324</v>
      </c>
      <c r="J18" s="81" t="s">
        <v>325</v>
      </c>
      <c r="K18" s="81" t="s">
        <v>326</v>
      </c>
      <c r="L18" s="79" t="s">
        <v>242</v>
      </c>
      <c r="M18" s="79" t="s">
        <v>243</v>
      </c>
    </row>
    <row r="19" customFormat="false" ht="39.75" hidden="false" customHeight="true" outlineLevel="0" collapsed="false">
      <c r="A19" s="87" t="s">
        <v>327</v>
      </c>
      <c r="B19" s="72" t="s">
        <v>328</v>
      </c>
      <c r="C19" s="73" t="s">
        <v>319</v>
      </c>
      <c r="D19" s="73" t="s">
        <v>329</v>
      </c>
      <c r="E19" s="71" t="s">
        <v>321</v>
      </c>
      <c r="F19" s="73" t="s">
        <v>330</v>
      </c>
      <c r="G19" s="73" t="s">
        <v>119</v>
      </c>
      <c r="H19" s="73" t="s">
        <v>313</v>
      </c>
      <c r="I19" s="85" t="s">
        <v>324</v>
      </c>
      <c r="J19" s="73" t="s">
        <v>331</v>
      </c>
      <c r="K19" s="73" t="s">
        <v>332</v>
      </c>
      <c r="L19" s="71" t="s">
        <v>242</v>
      </c>
      <c r="M19" s="71" t="s">
        <v>243</v>
      </c>
    </row>
    <row r="20" customFormat="false" ht="39.75" hidden="false" customHeight="true" outlineLevel="0" collapsed="false">
      <c r="A20" s="88" t="s">
        <v>333</v>
      </c>
      <c r="B20" s="80" t="s">
        <v>334</v>
      </c>
      <c r="C20" s="81" t="s">
        <v>319</v>
      </c>
      <c r="D20" s="81" t="s">
        <v>335</v>
      </c>
      <c r="E20" s="79" t="s">
        <v>321</v>
      </c>
      <c r="F20" s="81" t="s">
        <v>336</v>
      </c>
      <c r="G20" s="81" t="s">
        <v>119</v>
      </c>
      <c r="H20" s="81" t="s">
        <v>337</v>
      </c>
      <c r="I20" s="83" t="s">
        <v>338</v>
      </c>
      <c r="J20" s="81" t="s">
        <v>339</v>
      </c>
      <c r="K20" s="81" t="s">
        <v>340</v>
      </c>
      <c r="L20" s="79" t="s">
        <v>242</v>
      </c>
      <c r="M20" s="79" t="s">
        <v>243</v>
      </c>
    </row>
    <row r="21" customFormat="false" ht="39.75" hidden="false" customHeight="true" outlineLevel="0" collapsed="false">
      <c r="A21" s="87" t="s">
        <v>341</v>
      </c>
      <c r="B21" s="72" t="s">
        <v>342</v>
      </c>
      <c r="C21" s="86" t="s">
        <v>343</v>
      </c>
      <c r="D21" s="73" t="s">
        <v>344</v>
      </c>
      <c r="E21" s="85" t="s">
        <v>236</v>
      </c>
      <c r="F21" s="73" t="s">
        <v>345</v>
      </c>
      <c r="G21" s="73" t="s">
        <v>119</v>
      </c>
      <c r="H21" s="73" t="s">
        <v>313</v>
      </c>
      <c r="I21" s="85" t="s">
        <v>324</v>
      </c>
      <c r="J21" s="73" t="s">
        <v>119</v>
      </c>
      <c r="K21" s="73" t="s">
        <v>346</v>
      </c>
      <c r="L21" s="71" t="s">
        <v>242</v>
      </c>
      <c r="M21" s="71" t="s">
        <v>243</v>
      </c>
    </row>
    <row r="22" customFormat="false" ht="39.75" hidden="false" customHeight="true" outlineLevel="0" collapsed="false">
      <c r="A22" s="88" t="s">
        <v>347</v>
      </c>
      <c r="B22" s="80" t="s">
        <v>348</v>
      </c>
      <c r="C22" s="81" t="s">
        <v>349</v>
      </c>
      <c r="D22" s="81" t="s">
        <v>350</v>
      </c>
      <c r="E22" s="79" t="s">
        <v>351</v>
      </c>
      <c r="F22" s="81" t="s">
        <v>352</v>
      </c>
      <c r="G22" s="81" t="s">
        <v>353</v>
      </c>
      <c r="H22" s="81" t="s">
        <v>354</v>
      </c>
      <c r="I22" s="83" t="s">
        <v>314</v>
      </c>
      <c r="J22" s="81" t="s">
        <v>355</v>
      </c>
      <c r="K22" s="81" t="s">
        <v>356</v>
      </c>
      <c r="L22" s="79" t="s">
        <v>242</v>
      </c>
      <c r="M22" s="79" t="s">
        <v>243</v>
      </c>
    </row>
    <row r="23" customFormat="false" ht="39.75" hidden="false" customHeight="true" outlineLevel="0" collapsed="false">
      <c r="A23" s="87" t="s">
        <v>357</v>
      </c>
      <c r="B23" s="72" t="s">
        <v>358</v>
      </c>
      <c r="C23" s="73" t="s">
        <v>359</v>
      </c>
      <c r="D23" s="73" t="s">
        <v>360</v>
      </c>
      <c r="E23" s="85" t="s">
        <v>236</v>
      </c>
      <c r="F23" s="73" t="s">
        <v>361</v>
      </c>
      <c r="G23" s="73" t="s">
        <v>187</v>
      </c>
      <c r="H23" s="73" t="s">
        <v>337</v>
      </c>
      <c r="I23" s="85" t="s">
        <v>362</v>
      </c>
      <c r="J23" s="73" t="s">
        <v>363</v>
      </c>
      <c r="K23" s="73" t="s">
        <v>364</v>
      </c>
      <c r="L23" s="71" t="s">
        <v>242</v>
      </c>
      <c r="M23" s="71" t="s">
        <v>243</v>
      </c>
    </row>
    <row r="24" customFormat="false" ht="39.75" hidden="false" customHeight="true" outlineLevel="0" collapsed="false">
      <c r="A24" s="88" t="s">
        <v>365</v>
      </c>
      <c r="B24" s="80" t="s">
        <v>366</v>
      </c>
      <c r="C24" s="81" t="s">
        <v>359</v>
      </c>
      <c r="D24" s="81" t="s">
        <v>367</v>
      </c>
      <c r="E24" s="83" t="s">
        <v>236</v>
      </c>
      <c r="F24" s="81" t="s">
        <v>368</v>
      </c>
      <c r="G24" s="81" t="s">
        <v>369</v>
      </c>
      <c r="H24" s="81" t="s">
        <v>266</v>
      </c>
      <c r="I24" s="83" t="s">
        <v>362</v>
      </c>
      <c r="J24" s="81" t="s">
        <v>370</v>
      </c>
      <c r="K24" s="81" t="s">
        <v>371</v>
      </c>
      <c r="L24" s="79" t="s">
        <v>242</v>
      </c>
      <c r="M24" s="79" t="s">
        <v>243</v>
      </c>
    </row>
    <row r="25" customFormat="false" ht="39.75" hidden="false" customHeight="true" outlineLevel="0" collapsed="false">
      <c r="A25" s="87" t="s">
        <v>372</v>
      </c>
      <c r="B25" s="72" t="s">
        <v>373</v>
      </c>
      <c r="C25" s="73" t="s">
        <v>374</v>
      </c>
      <c r="D25" s="73" t="s">
        <v>375</v>
      </c>
      <c r="E25" s="85" t="s">
        <v>236</v>
      </c>
      <c r="F25" s="73" t="s">
        <v>376</v>
      </c>
      <c r="G25" s="73" t="s">
        <v>119</v>
      </c>
      <c r="H25" s="73" t="s">
        <v>377</v>
      </c>
      <c r="I25" s="85" t="s">
        <v>239</v>
      </c>
      <c r="J25" s="73" t="s">
        <v>378</v>
      </c>
      <c r="K25" s="73" t="s">
        <v>379</v>
      </c>
      <c r="L25" s="71" t="s">
        <v>242</v>
      </c>
      <c r="M25" s="71" t="s">
        <v>243</v>
      </c>
    </row>
    <row r="26" customFormat="false" ht="39.75" hidden="false" customHeight="true" outlineLevel="0" collapsed="false">
      <c r="A26" s="88" t="s">
        <v>380</v>
      </c>
      <c r="B26" s="80" t="s">
        <v>381</v>
      </c>
      <c r="C26" s="81" t="s">
        <v>382</v>
      </c>
      <c r="D26" s="81" t="s">
        <v>383</v>
      </c>
      <c r="E26" s="83" t="s">
        <v>236</v>
      </c>
      <c r="F26" s="81" t="s">
        <v>384</v>
      </c>
      <c r="G26" s="81" t="s">
        <v>385</v>
      </c>
      <c r="H26" s="81" t="s">
        <v>337</v>
      </c>
      <c r="I26" s="83" t="s">
        <v>386</v>
      </c>
      <c r="J26" s="82" t="s">
        <v>387</v>
      </c>
      <c r="K26" s="81" t="s">
        <v>388</v>
      </c>
      <c r="L26" s="79" t="s">
        <v>242</v>
      </c>
      <c r="M26" s="79" t="s">
        <v>243</v>
      </c>
    </row>
    <row r="27" customFormat="false" ht="39.75" hidden="false" customHeight="true" outlineLevel="0" collapsed="false">
      <c r="A27" s="87" t="s">
        <v>389</v>
      </c>
      <c r="B27" s="89" t="s">
        <v>390</v>
      </c>
      <c r="C27" s="73" t="s">
        <v>382</v>
      </c>
      <c r="D27" s="73" t="s">
        <v>391</v>
      </c>
      <c r="E27" s="85" t="s">
        <v>236</v>
      </c>
      <c r="F27" s="73" t="s">
        <v>392</v>
      </c>
      <c r="G27" s="73" t="s">
        <v>385</v>
      </c>
      <c r="H27" s="73" t="s">
        <v>337</v>
      </c>
      <c r="I27" s="85" t="s">
        <v>386</v>
      </c>
      <c r="J27" s="86" t="s">
        <v>387</v>
      </c>
      <c r="K27" s="73" t="s">
        <v>393</v>
      </c>
      <c r="L27" s="71" t="s">
        <v>242</v>
      </c>
      <c r="M27" s="71" t="s">
        <v>243</v>
      </c>
    </row>
    <row r="28" customFormat="false" ht="39.75" hidden="false" customHeight="true" outlineLevel="0" collapsed="false">
      <c r="A28" s="88" t="s">
        <v>394</v>
      </c>
      <c r="B28" s="80" t="s">
        <v>395</v>
      </c>
      <c r="C28" s="81" t="s">
        <v>396</v>
      </c>
      <c r="D28" s="81" t="s">
        <v>397</v>
      </c>
      <c r="E28" s="83" t="s">
        <v>236</v>
      </c>
      <c r="F28" s="81" t="s">
        <v>398</v>
      </c>
      <c r="G28" s="81" t="s">
        <v>265</v>
      </c>
      <c r="H28" s="81" t="s">
        <v>266</v>
      </c>
      <c r="I28" s="83" t="s">
        <v>267</v>
      </c>
      <c r="J28" s="81" t="s">
        <v>119</v>
      </c>
      <c r="K28" s="81" t="s">
        <v>399</v>
      </c>
      <c r="L28" s="79" t="s">
        <v>242</v>
      </c>
      <c r="M28" s="79" t="s">
        <v>243</v>
      </c>
    </row>
    <row r="29" customFormat="false" ht="39.75" hidden="false" customHeight="true" outlineLevel="0" collapsed="false">
      <c r="A29" s="87" t="s">
        <v>400</v>
      </c>
      <c r="B29" s="72" t="s">
        <v>401</v>
      </c>
      <c r="C29" s="73" t="s">
        <v>396</v>
      </c>
      <c r="D29" s="73" t="s">
        <v>402</v>
      </c>
      <c r="E29" s="85" t="s">
        <v>236</v>
      </c>
      <c r="F29" s="73" t="s">
        <v>403</v>
      </c>
      <c r="G29" s="73" t="s">
        <v>119</v>
      </c>
      <c r="H29" s="73" t="s">
        <v>266</v>
      </c>
      <c r="I29" s="85" t="s">
        <v>404</v>
      </c>
      <c r="J29" s="73" t="s">
        <v>405</v>
      </c>
      <c r="K29" s="73" t="s">
        <v>406</v>
      </c>
      <c r="L29" s="71" t="s">
        <v>242</v>
      </c>
      <c r="M29" s="71" t="s">
        <v>243</v>
      </c>
    </row>
    <row r="30" customFormat="false" ht="39.75" hidden="false" customHeight="true" outlineLevel="0" collapsed="false">
      <c r="A30" s="88" t="s">
        <v>407</v>
      </c>
      <c r="B30" s="80" t="s">
        <v>408</v>
      </c>
      <c r="C30" s="81" t="s">
        <v>409</v>
      </c>
      <c r="D30" s="81" t="s">
        <v>410</v>
      </c>
      <c r="E30" s="79" t="s">
        <v>351</v>
      </c>
      <c r="F30" s="81" t="s">
        <v>411</v>
      </c>
      <c r="G30" s="81" t="s">
        <v>119</v>
      </c>
      <c r="H30" s="81" t="s">
        <v>266</v>
      </c>
      <c r="I30" s="83" t="s">
        <v>412</v>
      </c>
      <c r="J30" s="81" t="s">
        <v>413</v>
      </c>
      <c r="K30" s="81" t="s">
        <v>414</v>
      </c>
      <c r="L30" s="79" t="s">
        <v>242</v>
      </c>
      <c r="M30" s="79" t="s">
        <v>243</v>
      </c>
    </row>
    <row r="31" customFormat="false" ht="39.75" hidden="false" customHeight="true" outlineLevel="0" collapsed="false">
      <c r="A31" s="87" t="s">
        <v>415</v>
      </c>
      <c r="B31" s="72" t="s">
        <v>416</v>
      </c>
      <c r="C31" s="73" t="s">
        <v>417</v>
      </c>
      <c r="D31" s="73" t="s">
        <v>418</v>
      </c>
      <c r="E31" s="85" t="s">
        <v>236</v>
      </c>
      <c r="F31" s="73" t="s">
        <v>419</v>
      </c>
      <c r="G31" s="73" t="s">
        <v>275</v>
      </c>
      <c r="H31" s="73" t="s">
        <v>276</v>
      </c>
      <c r="I31" s="85" t="s">
        <v>277</v>
      </c>
      <c r="J31" s="73" t="s">
        <v>420</v>
      </c>
      <c r="K31" s="73" t="s">
        <v>421</v>
      </c>
      <c r="L31" s="71" t="s">
        <v>242</v>
      </c>
      <c r="M31" s="71" t="s">
        <v>243</v>
      </c>
    </row>
    <row r="32" customFormat="false" ht="39.75" hidden="false" customHeight="true" outlineLevel="0" collapsed="false">
      <c r="A32" s="88" t="s">
        <v>422</v>
      </c>
      <c r="B32" s="80" t="s">
        <v>423</v>
      </c>
      <c r="C32" s="81" t="s">
        <v>417</v>
      </c>
      <c r="D32" s="81" t="s">
        <v>424</v>
      </c>
      <c r="E32" s="83" t="s">
        <v>236</v>
      </c>
      <c r="F32" s="82" t="s">
        <v>425</v>
      </c>
      <c r="G32" s="81" t="s">
        <v>426</v>
      </c>
      <c r="H32" s="81" t="s">
        <v>276</v>
      </c>
      <c r="I32" s="83" t="s">
        <v>277</v>
      </c>
      <c r="J32" s="81" t="s">
        <v>278</v>
      </c>
      <c r="K32" s="82" t="s">
        <v>427</v>
      </c>
      <c r="L32" s="79" t="s">
        <v>242</v>
      </c>
      <c r="M32" s="79" t="s">
        <v>243</v>
      </c>
    </row>
    <row r="33" customFormat="false" ht="39.75" hidden="false" customHeight="true" outlineLevel="0" collapsed="false">
      <c r="A33" s="87" t="s">
        <v>428</v>
      </c>
      <c r="B33" s="72" t="s">
        <v>429</v>
      </c>
      <c r="C33" s="73" t="s">
        <v>430</v>
      </c>
      <c r="D33" s="73" t="s">
        <v>431</v>
      </c>
      <c r="E33" s="85" t="s">
        <v>236</v>
      </c>
      <c r="F33" s="73" t="s">
        <v>432</v>
      </c>
      <c r="G33" s="73" t="s">
        <v>433</v>
      </c>
      <c r="H33" s="73" t="s">
        <v>286</v>
      </c>
      <c r="I33" s="85" t="s">
        <v>287</v>
      </c>
      <c r="J33" s="73" t="s">
        <v>434</v>
      </c>
      <c r="K33" s="73" t="s">
        <v>435</v>
      </c>
      <c r="L33" s="71" t="s">
        <v>242</v>
      </c>
      <c r="M33" s="71" t="s">
        <v>243</v>
      </c>
    </row>
    <row r="34" customFormat="false" ht="39.75" hidden="false" customHeight="true" outlineLevel="0" collapsed="false">
      <c r="A34" s="88" t="s">
        <v>436</v>
      </c>
      <c r="B34" s="80" t="s">
        <v>437</v>
      </c>
      <c r="C34" s="81" t="s">
        <v>430</v>
      </c>
      <c r="D34" s="81" t="s">
        <v>438</v>
      </c>
      <c r="E34" s="83" t="s">
        <v>236</v>
      </c>
      <c r="F34" s="81" t="s">
        <v>439</v>
      </c>
      <c r="G34" s="81" t="s">
        <v>285</v>
      </c>
      <c r="H34" s="81" t="s">
        <v>286</v>
      </c>
      <c r="I34" s="83" t="s">
        <v>287</v>
      </c>
      <c r="J34" s="81" t="s">
        <v>370</v>
      </c>
      <c r="K34" s="82" t="s">
        <v>440</v>
      </c>
      <c r="L34" s="79" t="s">
        <v>242</v>
      </c>
      <c r="M34" s="79" t="s">
        <v>243</v>
      </c>
    </row>
    <row r="35" customFormat="false" ht="39.75" hidden="false" customHeight="true" outlineLevel="0" collapsed="false">
      <c r="A35" s="87" t="s">
        <v>441</v>
      </c>
      <c r="B35" s="72" t="s">
        <v>442</v>
      </c>
      <c r="C35" s="73" t="s">
        <v>443</v>
      </c>
      <c r="D35" s="73" t="s">
        <v>444</v>
      </c>
      <c r="E35" s="85" t="s">
        <v>236</v>
      </c>
      <c r="F35" s="73" t="s">
        <v>445</v>
      </c>
      <c r="G35" s="73" t="s">
        <v>446</v>
      </c>
      <c r="H35" s="73" t="s">
        <v>256</v>
      </c>
      <c r="I35" s="85" t="s">
        <v>257</v>
      </c>
      <c r="J35" s="73" t="s">
        <v>447</v>
      </c>
      <c r="K35" s="73" t="s">
        <v>448</v>
      </c>
      <c r="L35" s="71" t="s">
        <v>242</v>
      </c>
      <c r="M35" s="71" t="s">
        <v>243</v>
      </c>
    </row>
    <row r="36" customFormat="false" ht="39.75" hidden="false" customHeight="true" outlineLevel="0" collapsed="false">
      <c r="A36" s="88" t="s">
        <v>449</v>
      </c>
      <c r="B36" s="90" t="s">
        <v>450</v>
      </c>
      <c r="C36" s="81" t="s">
        <v>451</v>
      </c>
      <c r="D36" s="81" t="s">
        <v>452</v>
      </c>
      <c r="E36" s="79" t="s">
        <v>321</v>
      </c>
      <c r="F36" s="82" t="s">
        <v>453</v>
      </c>
      <c r="G36" s="81" t="s">
        <v>454</v>
      </c>
      <c r="H36" s="81" t="s">
        <v>256</v>
      </c>
      <c r="I36" s="83" t="s">
        <v>257</v>
      </c>
      <c r="J36" s="81" t="s">
        <v>296</v>
      </c>
      <c r="K36" s="81" t="s">
        <v>455</v>
      </c>
      <c r="L36" s="79" t="s">
        <v>242</v>
      </c>
      <c r="M36" s="79" t="s">
        <v>243</v>
      </c>
    </row>
    <row r="37" customFormat="false" ht="39.75" hidden="false" customHeight="true" outlineLevel="0" collapsed="false">
      <c r="A37" s="87" t="s">
        <v>456</v>
      </c>
      <c r="B37" s="72" t="s">
        <v>457</v>
      </c>
      <c r="C37" s="73" t="s">
        <v>458</v>
      </c>
      <c r="D37" s="73" t="s">
        <v>459</v>
      </c>
      <c r="E37" s="85" t="s">
        <v>236</v>
      </c>
      <c r="F37" s="73" t="s">
        <v>460</v>
      </c>
      <c r="G37" s="73" t="s">
        <v>461</v>
      </c>
      <c r="H37" s="73" t="s">
        <v>266</v>
      </c>
      <c r="I37" s="85" t="s">
        <v>462</v>
      </c>
      <c r="J37" s="73" t="s">
        <v>463</v>
      </c>
      <c r="K37" s="86" t="s">
        <v>464</v>
      </c>
      <c r="L37" s="71" t="s">
        <v>242</v>
      </c>
      <c r="M37" s="71" t="s">
        <v>243</v>
      </c>
    </row>
    <row r="38" customFormat="false" ht="39.75" hidden="false" customHeight="true" outlineLevel="0" collapsed="false">
      <c r="A38" s="88" t="s">
        <v>465</v>
      </c>
      <c r="B38" s="80" t="s">
        <v>466</v>
      </c>
      <c r="C38" s="81" t="s">
        <v>458</v>
      </c>
      <c r="D38" s="81" t="s">
        <v>467</v>
      </c>
      <c r="E38" s="79" t="s">
        <v>321</v>
      </c>
      <c r="F38" s="81" t="s">
        <v>468</v>
      </c>
      <c r="G38" s="81" t="s">
        <v>461</v>
      </c>
      <c r="H38" s="81" t="s">
        <v>266</v>
      </c>
      <c r="I38" s="83" t="s">
        <v>462</v>
      </c>
      <c r="J38" s="81" t="s">
        <v>469</v>
      </c>
      <c r="K38" s="82" t="s">
        <v>470</v>
      </c>
      <c r="L38" s="79" t="s">
        <v>242</v>
      </c>
      <c r="M38" s="79" t="s">
        <v>243</v>
      </c>
    </row>
    <row r="39" customFormat="false" ht="39.75" hidden="false" customHeight="true" outlineLevel="0" collapsed="false">
      <c r="A39" s="87" t="s">
        <v>471</v>
      </c>
      <c r="B39" s="72" t="s">
        <v>472</v>
      </c>
      <c r="C39" s="73" t="s">
        <v>473</v>
      </c>
      <c r="D39" s="73" t="s">
        <v>474</v>
      </c>
      <c r="E39" s="85" t="s">
        <v>236</v>
      </c>
      <c r="F39" s="73" t="s">
        <v>475</v>
      </c>
      <c r="G39" s="73" t="s">
        <v>285</v>
      </c>
      <c r="H39" s="73" t="s">
        <v>286</v>
      </c>
      <c r="I39" s="85" t="s">
        <v>476</v>
      </c>
      <c r="J39" s="73" t="s">
        <v>477</v>
      </c>
      <c r="K39" s="86" t="s">
        <v>478</v>
      </c>
      <c r="L39" s="71" t="s">
        <v>242</v>
      </c>
      <c r="M39" s="71" t="s">
        <v>243</v>
      </c>
    </row>
    <row r="40" customFormat="false" ht="39.75" hidden="false" customHeight="true" outlineLevel="0" collapsed="false">
      <c r="A40" s="88" t="s">
        <v>479</v>
      </c>
      <c r="B40" s="80" t="s">
        <v>480</v>
      </c>
      <c r="C40" s="81" t="s">
        <v>473</v>
      </c>
      <c r="D40" s="81" t="s">
        <v>481</v>
      </c>
      <c r="E40" s="79" t="s">
        <v>321</v>
      </c>
      <c r="F40" s="81" t="s">
        <v>482</v>
      </c>
      <c r="G40" s="81" t="s">
        <v>285</v>
      </c>
      <c r="H40" s="81" t="s">
        <v>286</v>
      </c>
      <c r="I40" s="83" t="s">
        <v>476</v>
      </c>
      <c r="J40" s="81" t="s">
        <v>434</v>
      </c>
      <c r="K40" s="82" t="s">
        <v>483</v>
      </c>
      <c r="L40" s="79" t="s">
        <v>242</v>
      </c>
      <c r="M40" s="79" t="s">
        <v>243</v>
      </c>
    </row>
    <row r="41" customFormat="false" ht="39.75" hidden="false" customHeight="true" outlineLevel="0" collapsed="false">
      <c r="A41" s="87" t="s">
        <v>484</v>
      </c>
      <c r="B41" s="72" t="s">
        <v>485</v>
      </c>
      <c r="C41" s="73" t="s">
        <v>486</v>
      </c>
      <c r="D41" s="73" t="s">
        <v>487</v>
      </c>
      <c r="E41" s="71" t="s">
        <v>321</v>
      </c>
      <c r="F41" s="86" t="s">
        <v>488</v>
      </c>
      <c r="G41" s="73" t="s">
        <v>489</v>
      </c>
      <c r="H41" s="73" t="s">
        <v>266</v>
      </c>
      <c r="I41" s="85" t="s">
        <v>490</v>
      </c>
      <c r="J41" s="73" t="s">
        <v>296</v>
      </c>
      <c r="K41" s="86" t="s">
        <v>491</v>
      </c>
      <c r="L41" s="71" t="s">
        <v>242</v>
      </c>
      <c r="M41" s="71" t="s">
        <v>243</v>
      </c>
    </row>
    <row r="42" customFormat="false" ht="39.75" hidden="false" customHeight="true" outlineLevel="0" collapsed="false">
      <c r="A42" s="88" t="s">
        <v>492</v>
      </c>
      <c r="B42" s="80" t="s">
        <v>493</v>
      </c>
      <c r="C42" s="81" t="s">
        <v>494</v>
      </c>
      <c r="D42" s="81" t="s">
        <v>495</v>
      </c>
      <c r="E42" s="79" t="s">
        <v>496</v>
      </c>
      <c r="F42" s="81" t="s">
        <v>497</v>
      </c>
      <c r="G42" s="81" t="s">
        <v>498</v>
      </c>
      <c r="H42" s="81" t="s">
        <v>499</v>
      </c>
      <c r="I42" s="83" t="s">
        <v>500</v>
      </c>
      <c r="J42" s="81" t="s">
        <v>477</v>
      </c>
      <c r="K42" s="82" t="s">
        <v>501</v>
      </c>
      <c r="L42" s="79" t="s">
        <v>242</v>
      </c>
      <c r="M42" s="79" t="s">
        <v>243</v>
      </c>
    </row>
    <row r="43" customFormat="false" ht="39.75" hidden="false" customHeight="true" outlineLevel="0" collapsed="false">
      <c r="A43" s="87" t="s">
        <v>502</v>
      </c>
      <c r="B43" s="72" t="s">
        <v>503</v>
      </c>
      <c r="C43" s="73" t="s">
        <v>504</v>
      </c>
      <c r="D43" s="73" t="s">
        <v>505</v>
      </c>
      <c r="E43" s="71" t="s">
        <v>496</v>
      </c>
      <c r="F43" s="73" t="s">
        <v>506</v>
      </c>
      <c r="G43" s="73" t="s">
        <v>498</v>
      </c>
      <c r="H43" s="73" t="s">
        <v>507</v>
      </c>
      <c r="I43" s="85" t="s">
        <v>500</v>
      </c>
      <c r="J43" s="73" t="s">
        <v>508</v>
      </c>
      <c r="K43" s="73" t="s">
        <v>509</v>
      </c>
      <c r="L43" s="71" t="s">
        <v>242</v>
      </c>
      <c r="M43" s="71" t="s">
        <v>243</v>
      </c>
    </row>
    <row r="44" customFormat="false" ht="39.75" hidden="false" customHeight="true" outlineLevel="0" collapsed="false">
      <c r="A44" s="88" t="s">
        <v>510</v>
      </c>
      <c r="B44" s="80" t="s">
        <v>511</v>
      </c>
      <c r="C44" s="81" t="s">
        <v>494</v>
      </c>
      <c r="D44" s="81" t="s">
        <v>512</v>
      </c>
      <c r="E44" s="79" t="s">
        <v>496</v>
      </c>
      <c r="F44" s="81" t="s">
        <v>513</v>
      </c>
      <c r="G44" s="81" t="s">
        <v>514</v>
      </c>
      <c r="H44" s="81" t="s">
        <v>266</v>
      </c>
      <c r="I44" s="83" t="s">
        <v>500</v>
      </c>
      <c r="J44" s="81" t="s">
        <v>477</v>
      </c>
      <c r="K44" s="82" t="s">
        <v>515</v>
      </c>
      <c r="L44" s="79" t="s">
        <v>242</v>
      </c>
      <c r="M44" s="79" t="s">
        <v>243</v>
      </c>
    </row>
    <row r="45" customFormat="false" ht="39.75" hidden="false" customHeight="true" outlineLevel="0" collapsed="false">
      <c r="A45" s="87" t="s">
        <v>516</v>
      </c>
      <c r="B45" s="72" t="s">
        <v>517</v>
      </c>
      <c r="C45" s="73" t="s">
        <v>494</v>
      </c>
      <c r="D45" s="73" t="s">
        <v>518</v>
      </c>
      <c r="E45" s="71" t="s">
        <v>496</v>
      </c>
      <c r="F45" s="73" t="s">
        <v>513</v>
      </c>
      <c r="G45" s="73" t="s">
        <v>519</v>
      </c>
      <c r="H45" s="73" t="s">
        <v>266</v>
      </c>
      <c r="I45" s="85" t="s">
        <v>500</v>
      </c>
      <c r="J45" s="73" t="s">
        <v>477</v>
      </c>
      <c r="K45" s="86" t="s">
        <v>520</v>
      </c>
      <c r="L45" s="71" t="s">
        <v>242</v>
      </c>
      <c r="M45" s="71" t="s">
        <v>243</v>
      </c>
    </row>
    <row r="46" customFormat="false" ht="39.75" hidden="false" customHeight="true" outlineLevel="0" collapsed="false">
      <c r="A46" s="88" t="s">
        <v>521</v>
      </c>
      <c r="B46" s="80" t="s">
        <v>522</v>
      </c>
      <c r="C46" s="81" t="s">
        <v>494</v>
      </c>
      <c r="D46" s="81" t="s">
        <v>523</v>
      </c>
      <c r="E46" s="79" t="s">
        <v>496</v>
      </c>
      <c r="F46" s="81" t="s">
        <v>513</v>
      </c>
      <c r="G46" s="81" t="s">
        <v>524</v>
      </c>
      <c r="H46" s="81" t="s">
        <v>266</v>
      </c>
      <c r="I46" s="83" t="s">
        <v>500</v>
      </c>
      <c r="J46" s="81" t="s">
        <v>477</v>
      </c>
      <c r="K46" s="82" t="s">
        <v>525</v>
      </c>
      <c r="L46" s="79" t="s">
        <v>242</v>
      </c>
      <c r="M46" s="79" t="s">
        <v>243</v>
      </c>
    </row>
    <row r="47" customFormat="false" ht="39.75" hidden="false" customHeight="true" outlineLevel="0" collapsed="false">
      <c r="A47" s="87" t="s">
        <v>526</v>
      </c>
      <c r="B47" s="72" t="s">
        <v>527</v>
      </c>
      <c r="C47" s="73" t="s">
        <v>409</v>
      </c>
      <c r="D47" s="73" t="s">
        <v>528</v>
      </c>
      <c r="E47" s="71" t="s">
        <v>351</v>
      </c>
      <c r="F47" s="86" t="s">
        <v>425</v>
      </c>
      <c r="G47" s="73" t="s">
        <v>529</v>
      </c>
      <c r="H47" s="73" t="s">
        <v>266</v>
      </c>
      <c r="I47" s="85" t="s">
        <v>412</v>
      </c>
      <c r="J47" s="73" t="s">
        <v>370</v>
      </c>
      <c r="K47" s="73" t="s">
        <v>530</v>
      </c>
      <c r="L47" s="71" t="s">
        <v>242</v>
      </c>
      <c r="M47" s="71" t="s">
        <v>243</v>
      </c>
    </row>
    <row r="48" customFormat="false" ht="39.75" hidden="false" customHeight="true" outlineLevel="0" collapsed="false">
      <c r="A48" s="88" t="s">
        <v>531</v>
      </c>
      <c r="B48" s="80" t="s">
        <v>532</v>
      </c>
      <c r="C48" s="81" t="s">
        <v>533</v>
      </c>
      <c r="D48" s="81" t="s">
        <v>534</v>
      </c>
      <c r="E48" s="79" t="s">
        <v>535</v>
      </c>
      <c r="F48" s="81" t="s">
        <v>536</v>
      </c>
      <c r="G48" s="81" t="s">
        <v>537</v>
      </c>
      <c r="H48" s="81" t="s">
        <v>266</v>
      </c>
      <c r="I48" s="83" t="s">
        <v>538</v>
      </c>
      <c r="J48" s="81" t="s">
        <v>539</v>
      </c>
      <c r="K48" s="82" t="s">
        <v>540</v>
      </c>
      <c r="L48" s="79" t="s">
        <v>242</v>
      </c>
      <c r="M48" s="79" t="s">
        <v>243</v>
      </c>
    </row>
    <row r="49" customFormat="false" ht="39.75" hidden="false" customHeight="true" outlineLevel="0" collapsed="false">
      <c r="A49" s="87" t="s">
        <v>541</v>
      </c>
      <c r="B49" s="72" t="s">
        <v>542</v>
      </c>
      <c r="C49" s="73" t="s">
        <v>543</v>
      </c>
      <c r="D49" s="73" t="s">
        <v>544</v>
      </c>
      <c r="E49" s="71" t="s">
        <v>535</v>
      </c>
      <c r="F49" s="73" t="s">
        <v>545</v>
      </c>
      <c r="G49" s="73" t="s">
        <v>461</v>
      </c>
      <c r="H49" s="73" t="s">
        <v>266</v>
      </c>
      <c r="I49" s="85" t="s">
        <v>462</v>
      </c>
      <c r="J49" s="73" t="s">
        <v>546</v>
      </c>
      <c r="K49" s="86" t="s">
        <v>547</v>
      </c>
      <c r="L49" s="71" t="s">
        <v>242</v>
      </c>
      <c r="M49" s="71" t="s">
        <v>243</v>
      </c>
    </row>
  </sheetData>
  <mergeCells count="3">
    <mergeCell ref="A4:M4"/>
    <mergeCell ref="A5:M5"/>
    <mergeCell ref="A6:M6"/>
  </mergeCells>
  <conditionalFormatting sqref="M9:M49">
    <cfRule type="cellIs" priority="2" operator="equal" aboveAverage="0" equalAverage="0" bottom="0" percent="0" rank="0" text="" dxfId="9">
      <formula>"未確認"</formula>
    </cfRule>
    <cfRule type="cellIs" priority="3" operator="equal" aboveAverage="0" equalAverage="0" bottom="0" percent="0" rank="0" text="" dxfId="10">
      <formula>"確認中"</formula>
    </cfRule>
    <cfRule type="cellIs" priority="4" operator="equal" aboveAverage="0" equalAverage="0" bottom="0" percent="0" rank="0" text="" dxfId="12">
      <formula>"掲載可"</formula>
    </cfRule>
    <cfRule type="cellIs" priority="5" operator="equal" aboveAverage="0" equalAverage="0" bottom="0" percent="0" rank="0" text="" dxfId="13">
      <formula>"差し替え"</formula>
    </cfRule>
  </conditionalFormatting>
  <dataValidations count="1">
    <dataValidation allowBlank="false" errorStyle="stop" operator="between" showDropDown="false" showErrorMessage="false" showInputMessage="false" sqref="M9:M48" type="list">
      <formula1>"未確認,確認中,掲載可,差し替え"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442F"/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25"/>
    <col collapsed="false" customWidth="true" hidden="false" outlineLevel="0" max="2" min="2" style="0" width="13.13"/>
    <col collapsed="false" customWidth="true" hidden="false" outlineLevel="0" max="4" min="3" style="0" width="8.75"/>
    <col collapsed="false" customWidth="true" hidden="false" outlineLevel="0" max="5" min="5" style="0" width="10"/>
    <col collapsed="false" customWidth="true" hidden="false" outlineLevel="0" max="6" min="6" style="0" width="26.25"/>
    <col collapsed="false" customWidth="true" hidden="false" outlineLevel="0" max="7" min="7" style="0" width="29.38"/>
    <col collapsed="false" customWidth="true" hidden="false" outlineLevel="0" max="8" min="8" style="0" width="26.25"/>
    <col collapsed="false" customWidth="true" hidden="false" outlineLevel="0" max="9" min="9" style="0" width="19.38"/>
    <col collapsed="false" customWidth="true" hidden="false" outlineLevel="0" max="10" min="10" style="0" width="32.5"/>
    <col collapsed="false" customWidth="true" hidden="false" outlineLevel="0" max="11" min="11" style="0" width="20.63"/>
    <col collapsed="false" customWidth="true" hidden="false" outlineLevel="0" max="12" min="12" style="0" width="12.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customFormat="false" ht="36" hidden="false" customHeight="true" outlineLevel="0" collapsed="false">
      <c r="A2" s="28" t="s">
        <v>548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customFormat="false" ht="18" hidden="false" customHeight="true" outlineLevel="0" collapsed="false">
      <c r="A3" s="60" t="s">
        <v>549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customFormat="false" ht="24.75" hidden="false" customHeight="true" outlineLevel="0" collapsed="false">
      <c r="A4" s="91" t="s">
        <v>550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customFormat="false" ht="24.75" hidden="false" customHeight="true" outlineLevel="0" collapsed="false">
      <c r="A5" s="65" t="s">
        <v>551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customFormat="false" ht="24.75" hidden="false" customHeight="true" outlineLevel="0" collapsed="false">
      <c r="A6" s="65" t="s">
        <v>552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customFormat="false" ht="33.75" hidden="false" customHeight="true" outlineLevel="0" collapsed="false">
      <c r="A8" s="8" t="s">
        <v>227</v>
      </c>
      <c r="B8" s="8" t="s">
        <v>60</v>
      </c>
      <c r="C8" s="8" t="s">
        <v>70</v>
      </c>
      <c r="D8" s="8" t="s">
        <v>553</v>
      </c>
      <c r="E8" s="8" t="s">
        <v>554</v>
      </c>
      <c r="F8" s="8" t="s">
        <v>5</v>
      </c>
      <c r="G8" s="8" t="s">
        <v>147</v>
      </c>
      <c r="H8" s="8" t="s">
        <v>555</v>
      </c>
      <c r="I8" s="8" t="s">
        <v>219</v>
      </c>
      <c r="J8" s="8" t="s">
        <v>556</v>
      </c>
      <c r="K8" s="8" t="s">
        <v>230</v>
      </c>
      <c r="L8" s="8" t="s">
        <v>97</v>
      </c>
    </row>
    <row r="9" customFormat="false" ht="33.75" hidden="false" customHeight="true" outlineLevel="0" collapsed="false">
      <c r="A9" s="92" t="s">
        <v>557</v>
      </c>
      <c r="B9" s="93" t="n">
        <f aca="false">制作工程表!E4</f>
        <v>46322</v>
      </c>
      <c r="C9" s="94" t="n">
        <v>0.354166666666667</v>
      </c>
      <c r="D9" s="94" t="n">
        <v>0.375</v>
      </c>
      <c r="E9" s="95" t="n">
        <f aca="false">ROUND((D9-C9)*1440,0)</f>
        <v>30</v>
      </c>
      <c r="F9" s="96" t="s">
        <v>558</v>
      </c>
      <c r="G9" s="96" t="s">
        <v>559</v>
      </c>
      <c r="H9" s="96" t="s">
        <v>560</v>
      </c>
      <c r="I9" s="97" t="s">
        <v>119</v>
      </c>
      <c r="J9" s="96" t="s">
        <v>561</v>
      </c>
      <c r="K9" s="96" t="s">
        <v>562</v>
      </c>
      <c r="L9" s="97" t="s">
        <v>31</v>
      </c>
    </row>
    <row r="10" customFormat="false" ht="33.75" hidden="false" customHeight="true" outlineLevel="0" collapsed="false">
      <c r="A10" s="98" t="s">
        <v>324</v>
      </c>
      <c r="B10" s="99" t="n">
        <f aca="false">制作工程表!E4</f>
        <v>46322</v>
      </c>
      <c r="C10" s="100" t="n">
        <v>0.375</v>
      </c>
      <c r="D10" s="100" t="n">
        <v>0.395833333333333</v>
      </c>
      <c r="E10" s="79" t="n">
        <f aca="false">ROUND((D10-C10)*1440,0)</f>
        <v>30</v>
      </c>
      <c r="F10" s="80" t="s">
        <v>563</v>
      </c>
      <c r="G10" s="81" t="s">
        <v>119</v>
      </c>
      <c r="H10" s="81" t="s">
        <v>564</v>
      </c>
      <c r="I10" s="83" t="s">
        <v>565</v>
      </c>
      <c r="J10" s="81" t="s">
        <v>566</v>
      </c>
      <c r="K10" s="81" t="s">
        <v>242</v>
      </c>
      <c r="L10" s="79" t="s">
        <v>31</v>
      </c>
    </row>
    <row r="11" customFormat="false" ht="33.75" hidden="false" customHeight="true" outlineLevel="0" collapsed="false">
      <c r="A11" s="101" t="s">
        <v>239</v>
      </c>
      <c r="B11" s="102" t="n">
        <f aca="false">制作工程表!E4</f>
        <v>46322</v>
      </c>
      <c r="C11" s="103" t="n">
        <v>0.395833333333333</v>
      </c>
      <c r="D11" s="103" t="n">
        <v>0.416666666666667</v>
      </c>
      <c r="E11" s="71" t="n">
        <f aca="false">ROUND((D11-C11)*1440,0)</f>
        <v>30</v>
      </c>
      <c r="F11" s="72" t="s">
        <v>567</v>
      </c>
      <c r="G11" s="73" t="s">
        <v>119</v>
      </c>
      <c r="H11" s="73" t="s">
        <v>377</v>
      </c>
      <c r="I11" s="85" t="s">
        <v>568</v>
      </c>
      <c r="J11" s="73" t="s">
        <v>569</v>
      </c>
      <c r="K11" s="73" t="s">
        <v>242</v>
      </c>
      <c r="L11" s="71" t="s">
        <v>31</v>
      </c>
    </row>
    <row r="12" customFormat="false" ht="33.75" hidden="false" customHeight="true" outlineLevel="0" collapsed="false">
      <c r="A12" s="98" t="s">
        <v>267</v>
      </c>
      <c r="B12" s="99" t="n">
        <f aca="false">制作工程表!E4</f>
        <v>46322</v>
      </c>
      <c r="C12" s="100" t="n">
        <v>0.416666666666667</v>
      </c>
      <c r="D12" s="100" t="n">
        <v>0.447916666666667</v>
      </c>
      <c r="E12" s="79" t="n">
        <f aca="false">ROUND((D12-C12)*1440,0)</f>
        <v>45</v>
      </c>
      <c r="F12" s="80" t="s">
        <v>570</v>
      </c>
      <c r="G12" s="81" t="s">
        <v>295</v>
      </c>
      <c r="H12" s="81" t="s">
        <v>571</v>
      </c>
      <c r="I12" s="83" t="s">
        <v>572</v>
      </c>
      <c r="J12" s="81" t="s">
        <v>573</v>
      </c>
      <c r="K12" s="81" t="s">
        <v>574</v>
      </c>
      <c r="L12" s="79" t="s">
        <v>31</v>
      </c>
    </row>
    <row r="13" customFormat="false" ht="33.75" hidden="false" customHeight="true" outlineLevel="0" collapsed="false">
      <c r="A13" s="101" t="s">
        <v>277</v>
      </c>
      <c r="B13" s="102" t="n">
        <f aca="false">制作工程表!E4</f>
        <v>46322</v>
      </c>
      <c r="C13" s="103" t="n">
        <v>0.447916666666667</v>
      </c>
      <c r="D13" s="103" t="n">
        <v>0.46875</v>
      </c>
      <c r="E13" s="71" t="n">
        <f aca="false">ROUND((D13-C13)*1440,0)</f>
        <v>30</v>
      </c>
      <c r="F13" s="72" t="s">
        <v>575</v>
      </c>
      <c r="G13" s="73" t="s">
        <v>426</v>
      </c>
      <c r="H13" s="73" t="s">
        <v>576</v>
      </c>
      <c r="I13" s="85" t="s">
        <v>577</v>
      </c>
      <c r="J13" s="73" t="s">
        <v>578</v>
      </c>
      <c r="K13" s="73" t="s">
        <v>242</v>
      </c>
      <c r="L13" s="71" t="s">
        <v>31</v>
      </c>
    </row>
    <row r="14" customFormat="false" ht="33.75" hidden="false" customHeight="true" outlineLevel="0" collapsed="false">
      <c r="A14" s="98" t="s">
        <v>257</v>
      </c>
      <c r="B14" s="99" t="n">
        <f aca="false">制作工程表!E4</f>
        <v>46322</v>
      </c>
      <c r="C14" s="100" t="n">
        <v>0.46875</v>
      </c>
      <c r="D14" s="100" t="n">
        <v>0.5</v>
      </c>
      <c r="E14" s="79" t="n">
        <f aca="false">ROUND((D14-C14)*1440,0)</f>
        <v>45</v>
      </c>
      <c r="F14" s="80" t="s">
        <v>579</v>
      </c>
      <c r="G14" s="81" t="s">
        <v>580</v>
      </c>
      <c r="H14" s="81" t="s">
        <v>581</v>
      </c>
      <c r="I14" s="83" t="s">
        <v>582</v>
      </c>
      <c r="J14" s="81" t="s">
        <v>583</v>
      </c>
      <c r="K14" s="81" t="s">
        <v>574</v>
      </c>
      <c r="L14" s="79" t="s">
        <v>31</v>
      </c>
    </row>
    <row r="15" customFormat="false" ht="33.75" hidden="false" customHeight="true" outlineLevel="0" collapsed="false">
      <c r="A15" s="92" t="s">
        <v>584</v>
      </c>
      <c r="B15" s="93" t="n">
        <f aca="false">制作工程表!E4</f>
        <v>46322</v>
      </c>
      <c r="C15" s="94" t="n">
        <v>0.5</v>
      </c>
      <c r="D15" s="94" t="n">
        <v>0.541666666666667</v>
      </c>
      <c r="E15" s="97" t="n">
        <f aca="false">ROUND((D15-C15)*1440,0)</f>
        <v>60</v>
      </c>
      <c r="F15" s="96" t="s">
        <v>585</v>
      </c>
      <c r="G15" s="96" t="s">
        <v>586</v>
      </c>
      <c r="H15" s="96" t="s">
        <v>560</v>
      </c>
      <c r="I15" s="97" t="s">
        <v>119</v>
      </c>
      <c r="J15" s="96" t="s">
        <v>587</v>
      </c>
      <c r="K15" s="96" t="s">
        <v>586</v>
      </c>
      <c r="L15" s="97" t="s">
        <v>31</v>
      </c>
    </row>
    <row r="16" customFormat="false" ht="33.75" hidden="false" customHeight="true" outlineLevel="0" collapsed="false">
      <c r="A16" s="98" t="s">
        <v>462</v>
      </c>
      <c r="B16" s="99" t="n">
        <f aca="false">制作工程表!E4</f>
        <v>46322</v>
      </c>
      <c r="C16" s="100" t="n">
        <v>0.541666666666667</v>
      </c>
      <c r="D16" s="100" t="n">
        <v>0.572916666666667</v>
      </c>
      <c r="E16" s="79" t="n">
        <f aca="false">ROUND((D16-C16)*1440,0)</f>
        <v>45</v>
      </c>
      <c r="F16" s="80" t="s">
        <v>588</v>
      </c>
      <c r="G16" s="81" t="s">
        <v>461</v>
      </c>
      <c r="H16" s="81" t="s">
        <v>589</v>
      </c>
      <c r="I16" s="83" t="s">
        <v>590</v>
      </c>
      <c r="J16" s="81" t="s">
        <v>591</v>
      </c>
      <c r="K16" s="81" t="s">
        <v>592</v>
      </c>
      <c r="L16" s="79" t="s">
        <v>31</v>
      </c>
    </row>
    <row r="17" customFormat="false" ht="33.75" hidden="false" customHeight="true" outlineLevel="0" collapsed="false">
      <c r="A17" s="101" t="s">
        <v>490</v>
      </c>
      <c r="B17" s="102" t="n">
        <f aca="false">制作工程表!E4</f>
        <v>46322</v>
      </c>
      <c r="C17" s="103" t="n">
        <v>0.572916666666667</v>
      </c>
      <c r="D17" s="103" t="n">
        <v>0.604166666666667</v>
      </c>
      <c r="E17" s="71" t="n">
        <f aca="false">ROUND((D17-C17)*1440,0)</f>
        <v>45</v>
      </c>
      <c r="F17" s="72" t="s">
        <v>593</v>
      </c>
      <c r="G17" s="73" t="s">
        <v>594</v>
      </c>
      <c r="H17" s="73" t="s">
        <v>589</v>
      </c>
      <c r="I17" s="85" t="s">
        <v>484</v>
      </c>
      <c r="J17" s="73" t="s">
        <v>595</v>
      </c>
      <c r="K17" s="73" t="s">
        <v>592</v>
      </c>
      <c r="L17" s="71" t="s">
        <v>31</v>
      </c>
    </row>
    <row r="18" customFormat="false" ht="33.75" hidden="false" customHeight="true" outlineLevel="0" collapsed="false">
      <c r="A18" s="92" t="s">
        <v>596</v>
      </c>
      <c r="B18" s="93" t="n">
        <f aca="false">制作工程表!E4</f>
        <v>46322</v>
      </c>
      <c r="C18" s="94" t="n">
        <v>0.604166666666667</v>
      </c>
      <c r="D18" s="94" t="n">
        <v>0.614583333333333</v>
      </c>
      <c r="E18" s="97" t="n">
        <f aca="false">ROUND((D18-C18)*1440,0)</f>
        <v>15</v>
      </c>
      <c r="F18" s="96" t="s">
        <v>597</v>
      </c>
      <c r="G18" s="96" t="s">
        <v>586</v>
      </c>
      <c r="H18" s="96" t="s">
        <v>560</v>
      </c>
      <c r="I18" s="97" t="s">
        <v>119</v>
      </c>
      <c r="J18" s="96" t="s">
        <v>598</v>
      </c>
      <c r="K18" s="96" t="s">
        <v>586</v>
      </c>
      <c r="L18" s="97" t="s">
        <v>31</v>
      </c>
    </row>
    <row r="19" customFormat="false" ht="33.75" hidden="false" customHeight="true" outlineLevel="0" collapsed="false">
      <c r="A19" s="101" t="s">
        <v>304</v>
      </c>
      <c r="B19" s="102" t="n">
        <f aca="false">制作工程表!E4</f>
        <v>46322</v>
      </c>
      <c r="C19" s="103" t="n">
        <v>0.614583333333333</v>
      </c>
      <c r="D19" s="103" t="n">
        <v>0.645833333333333</v>
      </c>
      <c r="E19" s="71" t="n">
        <f aca="false">ROUND((D19-C19)*1440,0)</f>
        <v>45</v>
      </c>
      <c r="F19" s="72" t="s">
        <v>599</v>
      </c>
      <c r="G19" s="73" t="s">
        <v>303</v>
      </c>
      <c r="H19" s="73" t="s">
        <v>571</v>
      </c>
      <c r="I19" s="85" t="s">
        <v>298</v>
      </c>
      <c r="J19" s="73" t="s">
        <v>600</v>
      </c>
      <c r="K19" s="73" t="s">
        <v>242</v>
      </c>
      <c r="L19" s="71" t="s">
        <v>31</v>
      </c>
    </row>
    <row r="20" customFormat="false" ht="33.75" hidden="false" customHeight="true" outlineLevel="0" collapsed="false">
      <c r="A20" s="98" t="s">
        <v>412</v>
      </c>
      <c r="B20" s="99" t="n">
        <f aca="false">制作工程表!E4</f>
        <v>46322</v>
      </c>
      <c r="C20" s="100" t="n">
        <v>0.645833333333333</v>
      </c>
      <c r="D20" s="100" t="n">
        <v>0.677083333333333</v>
      </c>
      <c r="E20" s="79" t="n">
        <f aca="false">ROUND((D20-C20)*1440,0)</f>
        <v>45</v>
      </c>
      <c r="F20" s="80" t="s">
        <v>601</v>
      </c>
      <c r="G20" s="81" t="s">
        <v>529</v>
      </c>
      <c r="H20" s="81" t="s">
        <v>571</v>
      </c>
      <c r="I20" s="83" t="s">
        <v>602</v>
      </c>
      <c r="J20" s="81" t="s">
        <v>603</v>
      </c>
      <c r="K20" s="81" t="s">
        <v>242</v>
      </c>
      <c r="L20" s="79" t="s">
        <v>31</v>
      </c>
    </row>
    <row r="21" customFormat="false" ht="33.75" hidden="false" customHeight="true" outlineLevel="0" collapsed="false">
      <c r="A21" s="101" t="s">
        <v>314</v>
      </c>
      <c r="B21" s="102" t="n">
        <f aca="false">制作工程表!E4</f>
        <v>46322</v>
      </c>
      <c r="C21" s="103" t="n">
        <v>0.677083333333333</v>
      </c>
      <c r="D21" s="103" t="n">
        <v>0.697916666666667</v>
      </c>
      <c r="E21" s="71" t="n">
        <f aca="false">ROUND((D21-C21)*1440,0)</f>
        <v>30</v>
      </c>
      <c r="F21" s="72" t="s">
        <v>308</v>
      </c>
      <c r="G21" s="73" t="s">
        <v>312</v>
      </c>
      <c r="H21" s="73" t="s">
        <v>604</v>
      </c>
      <c r="I21" s="85" t="s">
        <v>605</v>
      </c>
      <c r="J21" s="73" t="s">
        <v>606</v>
      </c>
      <c r="K21" s="73" t="s">
        <v>607</v>
      </c>
      <c r="L21" s="71" t="s">
        <v>31</v>
      </c>
    </row>
    <row r="22" customFormat="false" ht="33.75" hidden="false" customHeight="true" outlineLevel="0" collapsed="false">
      <c r="A22" s="98" t="s">
        <v>538</v>
      </c>
      <c r="B22" s="99" t="n">
        <f aca="false">制作工程表!E4</f>
        <v>46322</v>
      </c>
      <c r="C22" s="100" t="n">
        <v>0.697916666666667</v>
      </c>
      <c r="D22" s="100" t="n">
        <v>0.71875</v>
      </c>
      <c r="E22" s="79" t="n">
        <f aca="false">ROUND((D22-C22)*1440,0)</f>
        <v>30</v>
      </c>
      <c r="F22" s="80" t="s">
        <v>608</v>
      </c>
      <c r="G22" s="81" t="s">
        <v>537</v>
      </c>
      <c r="H22" s="81" t="s">
        <v>571</v>
      </c>
      <c r="I22" s="83" t="s">
        <v>531</v>
      </c>
      <c r="J22" s="81" t="s">
        <v>609</v>
      </c>
      <c r="K22" s="81" t="s">
        <v>242</v>
      </c>
      <c r="L22" s="79" t="s">
        <v>31</v>
      </c>
    </row>
    <row r="23" customFormat="false" ht="33.75" hidden="false" customHeight="true" outlineLevel="0" collapsed="false">
      <c r="A23" s="101" t="s">
        <v>610</v>
      </c>
      <c r="B23" s="102" t="n">
        <f aca="false">制作工程表!E4</f>
        <v>46322</v>
      </c>
      <c r="C23" s="103" t="n">
        <v>0.71875</v>
      </c>
      <c r="D23" s="103" t="n">
        <v>0.729166666666667</v>
      </c>
      <c r="E23" s="71" t="n">
        <f aca="false">ROUND((D23-C23)*1440,0)</f>
        <v>15</v>
      </c>
      <c r="F23" s="72" t="s">
        <v>611</v>
      </c>
      <c r="G23" s="73" t="s">
        <v>612</v>
      </c>
      <c r="H23" s="73" t="s">
        <v>613</v>
      </c>
      <c r="I23" s="71" t="s">
        <v>614</v>
      </c>
      <c r="J23" s="73" t="s">
        <v>615</v>
      </c>
      <c r="K23" s="73" t="s">
        <v>586</v>
      </c>
      <c r="L23" s="71" t="s">
        <v>31</v>
      </c>
    </row>
    <row r="24" customFormat="false" ht="33.75" hidden="false" customHeight="true" outlineLevel="0" collapsed="false">
      <c r="A24" s="98" t="s">
        <v>404</v>
      </c>
      <c r="B24" s="99" t="n">
        <f aca="false">制作工程表!E4</f>
        <v>46322</v>
      </c>
      <c r="C24" s="100" t="n">
        <v>0.729166666666667</v>
      </c>
      <c r="D24" s="100" t="n">
        <v>0.739583333333333</v>
      </c>
      <c r="E24" s="79" t="n">
        <f aca="false">ROUND((D24-C24)*1440,0)</f>
        <v>15</v>
      </c>
      <c r="F24" s="80" t="s">
        <v>616</v>
      </c>
      <c r="G24" s="81" t="s">
        <v>119</v>
      </c>
      <c r="H24" s="81" t="s">
        <v>571</v>
      </c>
      <c r="I24" s="83" t="s">
        <v>400</v>
      </c>
      <c r="J24" s="81" t="s">
        <v>617</v>
      </c>
      <c r="K24" s="81" t="s">
        <v>574</v>
      </c>
      <c r="L24" s="79" t="s">
        <v>31</v>
      </c>
    </row>
    <row r="25" customFormat="false" ht="33.75" hidden="false" customHeight="true" outlineLevel="0" collapsed="false">
      <c r="A25" s="92" t="s">
        <v>618</v>
      </c>
      <c r="B25" s="93" t="n">
        <f aca="false">制作工程表!E4</f>
        <v>46322</v>
      </c>
      <c r="C25" s="94" t="n">
        <v>0.739583333333333</v>
      </c>
      <c r="D25" s="94" t="n">
        <v>0.760416666666667</v>
      </c>
      <c r="E25" s="97" t="n">
        <f aca="false">ROUND((D25-C25)*1440,0)</f>
        <v>30</v>
      </c>
      <c r="F25" s="96" t="s">
        <v>619</v>
      </c>
      <c r="G25" s="96" t="s">
        <v>559</v>
      </c>
      <c r="H25" s="96" t="s">
        <v>560</v>
      </c>
      <c r="I25" s="97" t="s">
        <v>119</v>
      </c>
      <c r="J25" s="96" t="s">
        <v>620</v>
      </c>
      <c r="K25" s="96" t="s">
        <v>586</v>
      </c>
      <c r="L25" s="97" t="s">
        <v>31</v>
      </c>
    </row>
    <row r="26" customFormat="false" ht="33.75" hidden="false" customHeight="true" outlineLevel="0" collapsed="false">
      <c r="A26" s="104" t="s">
        <v>621</v>
      </c>
      <c r="B26" s="105" t="n">
        <f aca="false">制作工程表!H4</f>
        <v>46323</v>
      </c>
      <c r="C26" s="106" t="n">
        <v>0.375</v>
      </c>
      <c r="D26" s="106" t="n">
        <v>0.395833333333333</v>
      </c>
      <c r="E26" s="107" t="n">
        <f aca="false">ROUND((D26-C26)*1440,0)</f>
        <v>30</v>
      </c>
      <c r="F26" s="108" t="s">
        <v>622</v>
      </c>
      <c r="G26" s="108" t="s">
        <v>559</v>
      </c>
      <c r="H26" s="108" t="s">
        <v>560</v>
      </c>
      <c r="I26" s="109" t="s">
        <v>119</v>
      </c>
      <c r="J26" s="110" t="s">
        <v>623</v>
      </c>
      <c r="K26" s="108" t="s">
        <v>586</v>
      </c>
      <c r="L26" s="109" t="s">
        <v>31</v>
      </c>
    </row>
    <row r="27" customFormat="false" ht="33.75" hidden="false" customHeight="true" outlineLevel="0" collapsed="false">
      <c r="A27" s="111" t="s">
        <v>287</v>
      </c>
      <c r="B27" s="102" t="n">
        <f aca="false">制作工程表!H4</f>
        <v>46323</v>
      </c>
      <c r="C27" s="103" t="n">
        <v>0.395833333333333</v>
      </c>
      <c r="D27" s="103" t="n">
        <v>0.427083333333333</v>
      </c>
      <c r="E27" s="71" t="n">
        <f aca="false">ROUND((D27-C27)*1440,0)</f>
        <v>45</v>
      </c>
      <c r="F27" s="72" t="s">
        <v>624</v>
      </c>
      <c r="G27" s="73" t="s">
        <v>285</v>
      </c>
      <c r="H27" s="73" t="s">
        <v>286</v>
      </c>
      <c r="I27" s="85" t="s">
        <v>625</v>
      </c>
      <c r="J27" s="73" t="s">
        <v>626</v>
      </c>
      <c r="K27" s="73" t="s">
        <v>242</v>
      </c>
      <c r="L27" s="71" t="s">
        <v>31</v>
      </c>
    </row>
    <row r="28" customFormat="false" ht="33.75" hidden="false" customHeight="true" outlineLevel="0" collapsed="false">
      <c r="A28" s="112" t="s">
        <v>476</v>
      </c>
      <c r="B28" s="99" t="n">
        <f aca="false">制作工程表!H4</f>
        <v>46323</v>
      </c>
      <c r="C28" s="100" t="n">
        <v>0.427083333333333</v>
      </c>
      <c r="D28" s="100" t="n">
        <v>0.458333333333333</v>
      </c>
      <c r="E28" s="79" t="n">
        <f aca="false">ROUND((D28-C28)*1440,0)</f>
        <v>45</v>
      </c>
      <c r="F28" s="80" t="s">
        <v>627</v>
      </c>
      <c r="G28" s="81" t="s">
        <v>285</v>
      </c>
      <c r="H28" s="81" t="s">
        <v>628</v>
      </c>
      <c r="I28" s="83" t="s">
        <v>629</v>
      </c>
      <c r="J28" s="81" t="s">
        <v>595</v>
      </c>
      <c r="K28" s="81" t="s">
        <v>592</v>
      </c>
      <c r="L28" s="79" t="s">
        <v>31</v>
      </c>
    </row>
    <row r="29" customFormat="false" ht="33.75" hidden="false" customHeight="true" outlineLevel="0" collapsed="false">
      <c r="A29" s="111" t="s">
        <v>386</v>
      </c>
      <c r="B29" s="102" t="n">
        <f aca="false">制作工程表!H4</f>
        <v>46323</v>
      </c>
      <c r="C29" s="103" t="n">
        <v>0.458333333333333</v>
      </c>
      <c r="D29" s="103" t="n">
        <v>0.489583333333333</v>
      </c>
      <c r="E29" s="71" t="n">
        <f aca="false">ROUND((D29-C29)*1440,0)</f>
        <v>45</v>
      </c>
      <c r="F29" s="72" t="s">
        <v>382</v>
      </c>
      <c r="G29" s="73" t="s">
        <v>385</v>
      </c>
      <c r="H29" s="73" t="s">
        <v>337</v>
      </c>
      <c r="I29" s="85" t="s">
        <v>630</v>
      </c>
      <c r="J29" s="86" t="s">
        <v>631</v>
      </c>
      <c r="K29" s="73" t="s">
        <v>242</v>
      </c>
      <c r="L29" s="71" t="s">
        <v>31</v>
      </c>
    </row>
    <row r="30" customFormat="false" ht="33.75" hidden="false" customHeight="true" outlineLevel="0" collapsed="false">
      <c r="A30" s="112" t="s">
        <v>338</v>
      </c>
      <c r="B30" s="99" t="n">
        <f aca="false">制作工程表!H4</f>
        <v>46323</v>
      </c>
      <c r="C30" s="100" t="n">
        <v>0.489583333333333</v>
      </c>
      <c r="D30" s="100" t="n">
        <v>0.510416666666667</v>
      </c>
      <c r="E30" s="79" t="n">
        <f aca="false">ROUND((D30-C30)*1440,0)</f>
        <v>30</v>
      </c>
      <c r="F30" s="80" t="s">
        <v>334</v>
      </c>
      <c r="G30" s="81" t="s">
        <v>119</v>
      </c>
      <c r="H30" s="81" t="s">
        <v>337</v>
      </c>
      <c r="I30" s="83" t="s">
        <v>333</v>
      </c>
      <c r="J30" s="81" t="s">
        <v>632</v>
      </c>
      <c r="K30" s="81" t="s">
        <v>242</v>
      </c>
      <c r="L30" s="79" t="s">
        <v>31</v>
      </c>
    </row>
    <row r="31" customFormat="false" ht="33.75" hidden="false" customHeight="true" outlineLevel="0" collapsed="false">
      <c r="A31" s="113" t="s">
        <v>633</v>
      </c>
      <c r="B31" s="93" t="n">
        <f aca="false">制作工程表!H4</f>
        <v>46323</v>
      </c>
      <c r="C31" s="94" t="n">
        <v>0.510416666666667</v>
      </c>
      <c r="D31" s="94" t="n">
        <v>0.552083333333333</v>
      </c>
      <c r="E31" s="97" t="n">
        <f aca="false">ROUND((D31-C31)*1440,0)</f>
        <v>60</v>
      </c>
      <c r="F31" s="96" t="s">
        <v>585</v>
      </c>
      <c r="G31" s="96" t="s">
        <v>586</v>
      </c>
      <c r="H31" s="96" t="s">
        <v>560</v>
      </c>
      <c r="I31" s="97" t="s">
        <v>119</v>
      </c>
      <c r="J31" s="96" t="s">
        <v>634</v>
      </c>
      <c r="K31" s="96" t="s">
        <v>586</v>
      </c>
      <c r="L31" s="97" t="s">
        <v>31</v>
      </c>
    </row>
    <row r="32" customFormat="false" ht="33.75" hidden="false" customHeight="true" outlineLevel="0" collapsed="false">
      <c r="A32" s="112" t="s">
        <v>362</v>
      </c>
      <c r="B32" s="99" t="n">
        <f aca="false">制作工程表!H4</f>
        <v>46323</v>
      </c>
      <c r="C32" s="100" t="n">
        <v>0.552083333333333</v>
      </c>
      <c r="D32" s="100" t="n">
        <v>0.583333333333333</v>
      </c>
      <c r="E32" s="79" t="n">
        <f aca="false">ROUND((D32-C32)*1440,0)</f>
        <v>45</v>
      </c>
      <c r="F32" s="80" t="s">
        <v>635</v>
      </c>
      <c r="G32" s="81" t="s">
        <v>369</v>
      </c>
      <c r="H32" s="81" t="s">
        <v>636</v>
      </c>
      <c r="I32" s="83" t="s">
        <v>637</v>
      </c>
      <c r="J32" s="81" t="s">
        <v>638</v>
      </c>
      <c r="K32" s="81" t="s">
        <v>592</v>
      </c>
      <c r="L32" s="79" t="s">
        <v>31</v>
      </c>
    </row>
    <row r="33" customFormat="false" ht="33.75" hidden="false" customHeight="true" outlineLevel="0" collapsed="false">
      <c r="A33" s="111" t="s">
        <v>639</v>
      </c>
      <c r="B33" s="102" t="n">
        <f aca="false">制作工程表!H4</f>
        <v>46323</v>
      </c>
      <c r="C33" s="103" t="n">
        <v>0.583333333333333</v>
      </c>
      <c r="D33" s="103" t="n">
        <v>0.59375</v>
      </c>
      <c r="E33" s="71" t="n">
        <f aca="false">ROUND((D33-C33)*1440,0)</f>
        <v>15</v>
      </c>
      <c r="F33" s="72" t="s">
        <v>640</v>
      </c>
      <c r="G33" s="73" t="s">
        <v>498</v>
      </c>
      <c r="H33" s="73" t="s">
        <v>507</v>
      </c>
      <c r="I33" s="71" t="s">
        <v>119</v>
      </c>
      <c r="J33" s="73" t="s">
        <v>641</v>
      </c>
      <c r="K33" s="73" t="s">
        <v>642</v>
      </c>
      <c r="L33" s="71" t="s">
        <v>31</v>
      </c>
    </row>
    <row r="34" customFormat="false" ht="33.75" hidden="false" customHeight="true" outlineLevel="0" collapsed="false">
      <c r="A34" s="112" t="s">
        <v>500</v>
      </c>
      <c r="B34" s="99" t="n">
        <f aca="false">制作工程表!H4</f>
        <v>46323</v>
      </c>
      <c r="C34" s="100" t="n">
        <v>0.59375</v>
      </c>
      <c r="D34" s="100" t="n">
        <v>0.645833333333333</v>
      </c>
      <c r="E34" s="79" t="n">
        <f aca="false">ROUND((D34-C34)*1440,0)</f>
        <v>75</v>
      </c>
      <c r="F34" s="80" t="s">
        <v>643</v>
      </c>
      <c r="G34" s="81" t="s">
        <v>498</v>
      </c>
      <c r="H34" s="81" t="s">
        <v>644</v>
      </c>
      <c r="I34" s="83" t="s">
        <v>645</v>
      </c>
      <c r="J34" s="81" t="s">
        <v>646</v>
      </c>
      <c r="K34" s="81" t="s">
        <v>592</v>
      </c>
      <c r="L34" s="79" t="s">
        <v>31</v>
      </c>
    </row>
    <row r="35" customFormat="false" ht="33.75" hidden="false" customHeight="true" outlineLevel="0" collapsed="false">
      <c r="A35" s="111" t="s">
        <v>647</v>
      </c>
      <c r="B35" s="102" t="n">
        <f aca="false">制作工程表!H4</f>
        <v>46323</v>
      </c>
      <c r="C35" s="103" t="n">
        <v>0.645833333333333</v>
      </c>
      <c r="D35" s="103" t="n">
        <v>0.677083333333333</v>
      </c>
      <c r="E35" s="71" t="n">
        <f aca="false">ROUND((D35-C35)*1440,0)</f>
        <v>45</v>
      </c>
      <c r="F35" s="72" t="s">
        <v>611</v>
      </c>
      <c r="G35" s="73" t="s">
        <v>612</v>
      </c>
      <c r="H35" s="73" t="s">
        <v>613</v>
      </c>
      <c r="I35" s="71" t="s">
        <v>614</v>
      </c>
      <c r="J35" s="73" t="s">
        <v>648</v>
      </c>
      <c r="K35" s="73" t="s">
        <v>242</v>
      </c>
      <c r="L35" s="71" t="s">
        <v>31</v>
      </c>
    </row>
    <row r="36" customFormat="false" ht="33.75" hidden="false" customHeight="true" outlineLevel="0" collapsed="false">
      <c r="A36" s="113" t="s">
        <v>649</v>
      </c>
      <c r="B36" s="93" t="n">
        <f aca="false">制作工程表!H4</f>
        <v>46323</v>
      </c>
      <c r="C36" s="94" t="n">
        <v>0.677083333333333</v>
      </c>
      <c r="D36" s="94" t="n">
        <v>0.708333333333333</v>
      </c>
      <c r="E36" s="97" t="n">
        <f aca="false">ROUND((D36-C36)*1440,0)</f>
        <v>45</v>
      </c>
      <c r="F36" s="96" t="s">
        <v>619</v>
      </c>
      <c r="G36" s="96" t="s">
        <v>559</v>
      </c>
      <c r="H36" s="96" t="s">
        <v>560</v>
      </c>
      <c r="I36" s="97" t="s">
        <v>119</v>
      </c>
      <c r="J36" s="96" t="s">
        <v>650</v>
      </c>
      <c r="K36" s="96" t="s">
        <v>586</v>
      </c>
      <c r="L36" s="97" t="s">
        <v>31</v>
      </c>
    </row>
  </sheetData>
  <mergeCells count="3">
    <mergeCell ref="A4:L4"/>
    <mergeCell ref="A5:L5"/>
    <mergeCell ref="A6:L6"/>
  </mergeCells>
  <conditionalFormatting sqref="L9:L36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L9:L36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1"/>
    <pageSetUpPr fitToPage="true"/>
  </sheetPr>
  <dimension ref="A1:H6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4.38"/>
    <col collapsed="false" customWidth="true" hidden="false" outlineLevel="0" max="3" min="3" style="0" width="38.75"/>
    <col collapsed="false" customWidth="true" hidden="false" outlineLevel="0" max="4" min="4" style="0" width="30"/>
    <col collapsed="false" customWidth="true" hidden="false" outlineLevel="0" max="5" min="5" style="0" width="22.5"/>
    <col collapsed="false" customWidth="true" hidden="false" outlineLevel="0" max="6" min="6" style="0" width="13.13"/>
    <col collapsed="false" customWidth="true" hidden="false" outlineLevel="0" max="7" min="7" style="0" width="42.5"/>
    <col collapsed="false" customWidth="true" hidden="false" outlineLevel="0" max="8" min="8" style="0" width="11.89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</row>
    <row r="2" customFormat="false" ht="36" hidden="false" customHeight="true" outlineLevel="0" collapsed="false">
      <c r="A2" s="28" t="s">
        <v>651</v>
      </c>
      <c r="B2" s="59"/>
      <c r="C2" s="59"/>
      <c r="D2" s="59"/>
      <c r="E2" s="59"/>
      <c r="F2" s="59"/>
      <c r="G2" s="59"/>
      <c r="H2" s="59"/>
    </row>
    <row r="3" customFormat="false" ht="18" hidden="false" customHeight="true" outlineLevel="0" collapsed="false">
      <c r="A3" s="60" t="s">
        <v>652</v>
      </c>
      <c r="B3" s="61"/>
      <c r="C3" s="61"/>
      <c r="D3" s="61"/>
      <c r="E3" s="61"/>
      <c r="F3" s="61"/>
      <c r="G3" s="61"/>
      <c r="H3" s="61"/>
    </row>
    <row r="4" customFormat="false" ht="24.75" hidden="false" customHeight="true" outlineLevel="0" collapsed="false">
      <c r="A4" s="65" t="s">
        <v>653</v>
      </c>
      <c r="B4" s="65"/>
      <c r="C4" s="65"/>
      <c r="D4" s="65"/>
      <c r="E4" s="65"/>
      <c r="F4" s="65"/>
      <c r="G4" s="65"/>
      <c r="H4" s="65"/>
    </row>
    <row r="5" customFormat="false" ht="24.75" hidden="false" customHeight="true" outlineLevel="0" collapsed="false">
      <c r="A5" s="65" t="s">
        <v>654</v>
      </c>
      <c r="B5" s="65"/>
      <c r="C5" s="65"/>
      <c r="D5" s="65"/>
      <c r="E5" s="65"/>
      <c r="F5" s="65"/>
      <c r="G5" s="65"/>
      <c r="H5" s="65"/>
    </row>
    <row r="6" customFormat="false" ht="24.75" hidden="false" customHeight="true" outlineLevel="0" collapsed="false">
      <c r="A6" s="65" t="s">
        <v>655</v>
      </c>
      <c r="B6" s="65"/>
      <c r="C6" s="65"/>
      <c r="D6" s="65"/>
      <c r="E6" s="65"/>
      <c r="F6" s="65"/>
      <c r="G6" s="65"/>
      <c r="H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</row>
    <row r="8" customFormat="false" ht="33.75" hidden="false" customHeight="true" outlineLevel="0" collapsed="false">
      <c r="A8" s="68" t="s">
        <v>64</v>
      </c>
      <c r="B8" s="8" t="s">
        <v>69</v>
      </c>
      <c r="C8" s="8" t="s">
        <v>656</v>
      </c>
      <c r="D8" s="8" t="s">
        <v>657</v>
      </c>
      <c r="E8" s="8" t="s">
        <v>658</v>
      </c>
      <c r="F8" s="8" t="s">
        <v>659</v>
      </c>
      <c r="G8" s="8" t="s">
        <v>660</v>
      </c>
      <c r="H8" s="8" t="s">
        <v>97</v>
      </c>
    </row>
    <row r="9" customFormat="false" ht="36" hidden="false" customHeight="true" outlineLevel="0" collapsed="false">
      <c r="A9" s="70" t="s">
        <v>661</v>
      </c>
      <c r="B9" s="71" t="s">
        <v>662</v>
      </c>
      <c r="C9" s="72" t="s">
        <v>663</v>
      </c>
      <c r="D9" s="73" t="s">
        <v>116</v>
      </c>
      <c r="E9" s="73" t="s">
        <v>115</v>
      </c>
      <c r="F9" s="102" t="n">
        <f aca="false">WORKDAY(制作工程表!$B$4-1,10,制作工程表!$Z$9:$Z$30)</f>
        <v>46314</v>
      </c>
      <c r="G9" s="73" t="s">
        <v>664</v>
      </c>
      <c r="H9" s="71" t="s">
        <v>31</v>
      </c>
    </row>
    <row r="10" customFormat="false" ht="36" hidden="false" customHeight="true" outlineLevel="0" collapsed="false">
      <c r="A10" s="78" t="s">
        <v>665</v>
      </c>
      <c r="B10" s="79" t="s">
        <v>147</v>
      </c>
      <c r="C10" s="80" t="s">
        <v>666</v>
      </c>
      <c r="D10" s="81" t="s">
        <v>142</v>
      </c>
      <c r="E10" s="81" t="s">
        <v>147</v>
      </c>
      <c r="F10" s="99" t="n">
        <f aca="false">WORKDAY(制作工程表!$B$4-1,10,制作工程表!$Z$9:$Z$30)</f>
        <v>46314</v>
      </c>
      <c r="G10" s="81" t="s">
        <v>667</v>
      </c>
      <c r="H10" s="79" t="s">
        <v>31</v>
      </c>
    </row>
    <row r="11" customFormat="false" ht="36" hidden="false" customHeight="true" outlineLevel="0" collapsed="false">
      <c r="A11" s="70" t="s">
        <v>668</v>
      </c>
      <c r="B11" s="71" t="s">
        <v>669</v>
      </c>
      <c r="C11" s="72" t="s">
        <v>670</v>
      </c>
      <c r="D11" s="73" t="s">
        <v>142</v>
      </c>
      <c r="E11" s="73" t="s">
        <v>671</v>
      </c>
      <c r="F11" s="102" t="n">
        <f aca="false">WORKDAY(制作工程表!$B$4-1,10,制作工程表!$Z$9:$Z$30)</f>
        <v>46314</v>
      </c>
      <c r="G11" s="73" t="s">
        <v>672</v>
      </c>
      <c r="H11" s="71" t="s">
        <v>31</v>
      </c>
    </row>
    <row r="12" customFormat="false" ht="36" hidden="false" customHeight="true" outlineLevel="0" collapsed="false">
      <c r="A12" s="78" t="s">
        <v>673</v>
      </c>
      <c r="B12" s="79" t="s">
        <v>674</v>
      </c>
      <c r="C12" s="80" t="s">
        <v>675</v>
      </c>
      <c r="D12" s="81" t="s">
        <v>128</v>
      </c>
      <c r="E12" s="81" t="s">
        <v>115</v>
      </c>
      <c r="F12" s="99" t="n">
        <f aca="false">WORKDAY(制作工程表!$B$4-1,10,制作工程表!$Z$9:$Z$30)</f>
        <v>46314</v>
      </c>
      <c r="G12" s="81" t="s">
        <v>676</v>
      </c>
      <c r="H12" s="79" t="s">
        <v>31</v>
      </c>
    </row>
    <row r="13" customFormat="false" ht="36" hidden="false" customHeight="true" outlineLevel="0" collapsed="false">
      <c r="A13" s="70" t="s">
        <v>677</v>
      </c>
      <c r="B13" s="71" t="s">
        <v>678</v>
      </c>
      <c r="C13" s="72" t="s">
        <v>679</v>
      </c>
      <c r="D13" s="73" t="s">
        <v>167</v>
      </c>
      <c r="E13" s="73" t="s">
        <v>680</v>
      </c>
      <c r="F13" s="102" t="n">
        <f aca="false">WORKDAY(制作工程表!$B$4-1,10,制作工程表!$Z$9:$Z$30)</f>
        <v>46314</v>
      </c>
      <c r="G13" s="73" t="s">
        <v>681</v>
      </c>
      <c r="H13" s="71" t="s">
        <v>31</v>
      </c>
    </row>
    <row r="14" customFormat="false" ht="36" hidden="false" customHeight="true" outlineLevel="0" collapsed="false">
      <c r="A14" s="78" t="s">
        <v>682</v>
      </c>
      <c r="B14" s="79" t="s">
        <v>683</v>
      </c>
      <c r="C14" s="80" t="s">
        <v>684</v>
      </c>
      <c r="D14" s="81" t="s">
        <v>128</v>
      </c>
      <c r="E14" s="81" t="s">
        <v>242</v>
      </c>
      <c r="F14" s="99" t="n">
        <f aca="false">WORKDAY(制作工程表!$B$4-1,12,制作工程表!$Z$9:$Z$30)</f>
        <v>46316</v>
      </c>
      <c r="G14" s="81" t="s">
        <v>685</v>
      </c>
      <c r="H14" s="79" t="s">
        <v>31</v>
      </c>
    </row>
    <row r="15" customFormat="false" ht="36" hidden="false" customHeight="true" outlineLevel="0" collapsed="false">
      <c r="A15" s="70" t="s">
        <v>686</v>
      </c>
      <c r="B15" s="71" t="s">
        <v>687</v>
      </c>
      <c r="C15" s="72" t="s">
        <v>688</v>
      </c>
      <c r="D15" s="73" t="s">
        <v>142</v>
      </c>
      <c r="E15" s="73" t="s">
        <v>147</v>
      </c>
      <c r="F15" s="102" t="n">
        <f aca="false">WORKDAY(制作工程表!$B$4-1,12,制作工程表!$Z$9:$Z$30)</f>
        <v>46316</v>
      </c>
      <c r="G15" s="73" t="s">
        <v>689</v>
      </c>
      <c r="H15" s="71" t="s">
        <v>31</v>
      </c>
    </row>
    <row r="16" customFormat="false" ht="36" hidden="false" customHeight="true" outlineLevel="0" collapsed="false">
      <c r="A16" s="78" t="s">
        <v>690</v>
      </c>
      <c r="B16" s="79" t="s">
        <v>691</v>
      </c>
      <c r="C16" s="80" t="s">
        <v>692</v>
      </c>
      <c r="D16" s="81" t="s">
        <v>128</v>
      </c>
      <c r="E16" s="81" t="s">
        <v>242</v>
      </c>
      <c r="F16" s="99" t="n">
        <f aca="false">WORKDAY(制作工程表!$B$4-1,12,制作工程表!$Z$9:$Z$30)</f>
        <v>46316</v>
      </c>
      <c r="G16" s="81" t="s">
        <v>693</v>
      </c>
      <c r="H16" s="79" t="s">
        <v>31</v>
      </c>
    </row>
    <row r="17" customFormat="false" ht="36" hidden="false" customHeight="true" outlineLevel="0" collapsed="false">
      <c r="A17" s="70" t="s">
        <v>694</v>
      </c>
      <c r="B17" s="71" t="s">
        <v>695</v>
      </c>
      <c r="C17" s="72" t="s">
        <v>696</v>
      </c>
      <c r="D17" s="73" t="s">
        <v>115</v>
      </c>
      <c r="E17" s="73" t="s">
        <v>697</v>
      </c>
      <c r="F17" s="102" t="n">
        <f aca="false">WORKDAY(制作工程表!$B$4-1,15,制作工程表!$Z$9:$Z$30)</f>
        <v>46321</v>
      </c>
      <c r="G17" s="73" t="s">
        <v>698</v>
      </c>
      <c r="H17" s="71" t="s">
        <v>31</v>
      </c>
    </row>
    <row r="18" customFormat="false" ht="36" hidden="false" customHeight="true" outlineLevel="0" collapsed="false">
      <c r="A18" s="78" t="s">
        <v>699</v>
      </c>
      <c r="B18" s="79" t="s">
        <v>700</v>
      </c>
      <c r="C18" s="80" t="s">
        <v>701</v>
      </c>
      <c r="D18" s="81" t="s">
        <v>115</v>
      </c>
      <c r="E18" s="81" t="s">
        <v>142</v>
      </c>
      <c r="F18" s="99" t="n">
        <f aca="false">WORKDAY(制作工程表!$B$4-1,15,制作工程表!$Z$9:$Z$30)</f>
        <v>46321</v>
      </c>
      <c r="G18" s="81" t="s">
        <v>702</v>
      </c>
      <c r="H18" s="79" t="s">
        <v>31</v>
      </c>
    </row>
    <row r="19" customFormat="false" ht="36" hidden="false" customHeight="true" outlineLevel="0" collapsed="false">
      <c r="A19" s="70" t="s">
        <v>703</v>
      </c>
      <c r="B19" s="71" t="s">
        <v>170</v>
      </c>
      <c r="C19" s="72" t="s">
        <v>704</v>
      </c>
      <c r="D19" s="73" t="s">
        <v>116</v>
      </c>
      <c r="E19" s="73" t="s">
        <v>171</v>
      </c>
      <c r="F19" s="102" t="n">
        <f aca="false">WORKDAY(制作工程表!$B$4-1,27,制作工程表!$Z$9:$Z$30)</f>
        <v>46338</v>
      </c>
      <c r="G19" s="73" t="s">
        <v>705</v>
      </c>
      <c r="H19" s="71" t="s">
        <v>31</v>
      </c>
    </row>
    <row r="20" customFormat="false" ht="36" hidden="false" customHeight="true" outlineLevel="0" collapsed="false">
      <c r="A20" s="78" t="s">
        <v>706</v>
      </c>
      <c r="B20" s="79" t="s">
        <v>707</v>
      </c>
      <c r="C20" s="80" t="s">
        <v>708</v>
      </c>
      <c r="D20" s="81" t="s">
        <v>116</v>
      </c>
      <c r="E20" s="81" t="s">
        <v>187</v>
      </c>
      <c r="F20" s="99" t="n">
        <f aca="false">WORKDAY(制作工程表!$B$4-1,52,制作工程表!$Z$9:$Z$30)</f>
        <v>46374</v>
      </c>
      <c r="G20" s="81" t="s">
        <v>709</v>
      </c>
      <c r="H20" s="79" t="s">
        <v>31</v>
      </c>
    </row>
    <row r="23" customFormat="false" ht="27.75" hidden="false" customHeight="true" outlineLevel="0" collapsed="false">
      <c r="A23" s="7" t="s">
        <v>710</v>
      </c>
    </row>
    <row r="25" customFormat="false" ht="33.75" hidden="false" customHeight="true" outlineLevel="0" collapsed="false">
      <c r="A25" s="8" t="s">
        <v>711</v>
      </c>
      <c r="B25" s="8" t="s">
        <v>712</v>
      </c>
      <c r="C25" s="8" t="s">
        <v>713</v>
      </c>
      <c r="D25" s="8" t="s">
        <v>714</v>
      </c>
      <c r="E25" s="8" t="s">
        <v>715</v>
      </c>
      <c r="F25" s="8" t="s">
        <v>716</v>
      </c>
      <c r="G25" s="8" t="s">
        <v>717</v>
      </c>
    </row>
    <row r="26" customFormat="false" ht="39.75" hidden="false" customHeight="true" outlineLevel="0" collapsed="false">
      <c r="A26" s="72" t="s">
        <v>718</v>
      </c>
      <c r="B26" s="73" t="s">
        <v>719</v>
      </c>
      <c r="C26" s="71" t="s">
        <v>720</v>
      </c>
      <c r="D26" s="86" t="s">
        <v>721</v>
      </c>
      <c r="E26" s="73" t="s">
        <v>722</v>
      </c>
      <c r="F26" s="73" t="s">
        <v>723</v>
      </c>
      <c r="G26" s="73" t="s">
        <v>724</v>
      </c>
    </row>
    <row r="27" customFormat="false" ht="39.75" hidden="false" customHeight="true" outlineLevel="0" collapsed="false">
      <c r="A27" s="80" t="s">
        <v>725</v>
      </c>
      <c r="B27" s="81" t="s">
        <v>726</v>
      </c>
      <c r="C27" s="79" t="s">
        <v>720</v>
      </c>
      <c r="D27" s="82" t="s">
        <v>727</v>
      </c>
      <c r="E27" s="81" t="s">
        <v>728</v>
      </c>
      <c r="F27" s="81" t="s">
        <v>463</v>
      </c>
      <c r="G27" s="81" t="s">
        <v>729</v>
      </c>
    </row>
    <row r="28" customFormat="false" ht="39.75" hidden="false" customHeight="true" outlineLevel="0" collapsed="false">
      <c r="A28" s="72" t="s">
        <v>730</v>
      </c>
      <c r="B28" s="73" t="s">
        <v>731</v>
      </c>
      <c r="C28" s="71" t="s">
        <v>720</v>
      </c>
      <c r="D28" s="86" t="s">
        <v>732</v>
      </c>
      <c r="E28" s="73" t="s">
        <v>733</v>
      </c>
      <c r="F28" s="73" t="s">
        <v>477</v>
      </c>
      <c r="G28" s="73" t="s">
        <v>734</v>
      </c>
    </row>
    <row r="29" customFormat="false" ht="39.75" hidden="false" customHeight="true" outlineLevel="0" collapsed="false">
      <c r="A29" s="80" t="s">
        <v>735</v>
      </c>
      <c r="B29" s="81" t="s">
        <v>736</v>
      </c>
      <c r="C29" s="79" t="s">
        <v>720</v>
      </c>
      <c r="D29" s="82" t="s">
        <v>737</v>
      </c>
      <c r="E29" s="81" t="s">
        <v>738</v>
      </c>
      <c r="F29" s="81" t="s">
        <v>477</v>
      </c>
      <c r="G29" s="81" t="s">
        <v>739</v>
      </c>
    </row>
    <row r="30" customFormat="false" ht="39.75" hidden="false" customHeight="true" outlineLevel="0" collapsed="false">
      <c r="A30" s="72" t="s">
        <v>740</v>
      </c>
      <c r="B30" s="73" t="s">
        <v>741</v>
      </c>
      <c r="C30" s="71" t="s">
        <v>720</v>
      </c>
      <c r="D30" s="86" t="s">
        <v>742</v>
      </c>
      <c r="E30" s="73" t="s">
        <v>743</v>
      </c>
      <c r="F30" s="73" t="s">
        <v>477</v>
      </c>
      <c r="G30" s="73" t="s">
        <v>744</v>
      </c>
    </row>
    <row r="31" customFormat="false" ht="39.75" hidden="false" customHeight="true" outlineLevel="0" collapsed="false">
      <c r="A31" s="80" t="s">
        <v>745</v>
      </c>
      <c r="B31" s="81" t="s">
        <v>746</v>
      </c>
      <c r="C31" s="79" t="s">
        <v>720</v>
      </c>
      <c r="D31" s="82" t="s">
        <v>747</v>
      </c>
      <c r="E31" s="81" t="s">
        <v>748</v>
      </c>
      <c r="F31" s="81" t="s">
        <v>723</v>
      </c>
      <c r="G31" s="81" t="s">
        <v>749</v>
      </c>
    </row>
    <row r="32" customFormat="false" ht="39.75" hidden="false" customHeight="true" outlineLevel="0" collapsed="false">
      <c r="A32" s="72" t="s">
        <v>187</v>
      </c>
      <c r="B32" s="73" t="s">
        <v>750</v>
      </c>
      <c r="C32" s="71" t="s">
        <v>751</v>
      </c>
      <c r="D32" s="86" t="s">
        <v>752</v>
      </c>
      <c r="E32" s="73" t="s">
        <v>753</v>
      </c>
      <c r="F32" s="73" t="s">
        <v>754</v>
      </c>
      <c r="G32" s="73" t="s">
        <v>755</v>
      </c>
    </row>
    <row r="33" customFormat="false" ht="39.75" hidden="false" customHeight="true" outlineLevel="0" collapsed="false">
      <c r="A33" s="80" t="s">
        <v>385</v>
      </c>
      <c r="B33" s="81" t="s">
        <v>756</v>
      </c>
      <c r="C33" s="79" t="s">
        <v>337</v>
      </c>
      <c r="D33" s="82" t="s">
        <v>757</v>
      </c>
      <c r="E33" s="81" t="s">
        <v>758</v>
      </c>
      <c r="F33" s="81" t="s">
        <v>477</v>
      </c>
      <c r="G33" s="81" t="s">
        <v>759</v>
      </c>
    </row>
    <row r="34" customFormat="false" ht="39.75" hidden="false" customHeight="true" outlineLevel="0" collapsed="false">
      <c r="A34" s="72" t="s">
        <v>303</v>
      </c>
      <c r="B34" s="73" t="s">
        <v>760</v>
      </c>
      <c r="C34" s="71" t="s">
        <v>720</v>
      </c>
      <c r="D34" s="86" t="s">
        <v>761</v>
      </c>
      <c r="E34" s="73" t="s">
        <v>762</v>
      </c>
      <c r="F34" s="73" t="s">
        <v>477</v>
      </c>
      <c r="G34" s="73" t="s">
        <v>763</v>
      </c>
    </row>
    <row r="35" customFormat="false" ht="39.75" hidden="false" customHeight="true" outlineLevel="0" collapsed="false">
      <c r="A35" s="80" t="s">
        <v>275</v>
      </c>
      <c r="B35" s="81" t="s">
        <v>764</v>
      </c>
      <c r="C35" s="79" t="s">
        <v>720</v>
      </c>
      <c r="D35" s="82" t="s">
        <v>765</v>
      </c>
      <c r="E35" s="81" t="s">
        <v>766</v>
      </c>
      <c r="F35" s="81" t="s">
        <v>767</v>
      </c>
      <c r="G35" s="81" t="s">
        <v>768</v>
      </c>
    </row>
    <row r="36" customFormat="false" ht="39.75" hidden="false" customHeight="true" outlineLevel="0" collapsed="false">
      <c r="A36" s="72" t="s">
        <v>769</v>
      </c>
      <c r="B36" s="73" t="s">
        <v>770</v>
      </c>
      <c r="C36" s="71" t="s">
        <v>720</v>
      </c>
      <c r="D36" s="86" t="s">
        <v>771</v>
      </c>
      <c r="E36" s="73" t="s">
        <v>772</v>
      </c>
      <c r="F36" s="73" t="s">
        <v>477</v>
      </c>
      <c r="G36" s="73" t="s">
        <v>773</v>
      </c>
    </row>
    <row r="37" customFormat="false" ht="39.75" hidden="false" customHeight="true" outlineLevel="0" collapsed="false">
      <c r="A37" s="80" t="s">
        <v>774</v>
      </c>
      <c r="B37" s="81" t="s">
        <v>775</v>
      </c>
      <c r="C37" s="79" t="s">
        <v>720</v>
      </c>
      <c r="D37" s="82" t="s">
        <v>776</v>
      </c>
      <c r="E37" s="81" t="s">
        <v>308</v>
      </c>
      <c r="F37" s="81" t="s">
        <v>777</v>
      </c>
      <c r="G37" s="81" t="s">
        <v>778</v>
      </c>
    </row>
    <row r="40" customFormat="false" ht="27.75" hidden="false" customHeight="true" outlineLevel="0" collapsed="false">
      <c r="A40" s="7" t="s">
        <v>779</v>
      </c>
    </row>
    <row r="42" customFormat="false" ht="33.75" hidden="false" customHeight="true" outlineLevel="0" collapsed="false">
      <c r="A42" s="8" t="s">
        <v>780</v>
      </c>
      <c r="B42" s="8" t="s">
        <v>781</v>
      </c>
      <c r="C42" s="36" t="s">
        <v>782</v>
      </c>
      <c r="D42" s="36"/>
      <c r="E42" s="36"/>
      <c r="F42" s="36"/>
      <c r="G42" s="36"/>
      <c r="H42" s="36"/>
    </row>
    <row r="43" customFormat="false" ht="25.5" hidden="false" customHeight="true" outlineLevel="0" collapsed="false">
      <c r="A43" s="114" t="s">
        <v>725</v>
      </c>
      <c r="B43" s="115" t="s">
        <v>232</v>
      </c>
      <c r="C43" s="116" t="s">
        <v>783</v>
      </c>
      <c r="D43" s="116"/>
      <c r="E43" s="116"/>
      <c r="F43" s="116"/>
      <c r="G43" s="116"/>
      <c r="H43" s="116"/>
    </row>
    <row r="44" customFormat="false" ht="25.5" hidden="false" customHeight="true" outlineLevel="0" collapsed="false">
      <c r="A44" s="117" t="s">
        <v>725</v>
      </c>
      <c r="B44" s="118" t="s">
        <v>244</v>
      </c>
      <c r="C44" s="119" t="s">
        <v>784</v>
      </c>
      <c r="D44" s="119"/>
      <c r="E44" s="119"/>
      <c r="F44" s="119"/>
      <c r="G44" s="119"/>
      <c r="H44" s="119"/>
    </row>
    <row r="45" customFormat="false" ht="25.5" hidden="false" customHeight="true" outlineLevel="0" collapsed="false">
      <c r="A45" s="114" t="s">
        <v>725</v>
      </c>
      <c r="B45" s="115" t="s">
        <v>251</v>
      </c>
      <c r="C45" s="116" t="s">
        <v>785</v>
      </c>
      <c r="D45" s="116"/>
      <c r="E45" s="116"/>
      <c r="F45" s="116"/>
      <c r="G45" s="116"/>
      <c r="H45" s="116"/>
    </row>
    <row r="46" customFormat="false" ht="25.5" hidden="false" customHeight="true" outlineLevel="0" collapsed="false">
      <c r="A46" s="117" t="s">
        <v>725</v>
      </c>
      <c r="B46" s="118" t="s">
        <v>260</v>
      </c>
      <c r="C46" s="119" t="s">
        <v>786</v>
      </c>
      <c r="D46" s="119"/>
      <c r="E46" s="119"/>
      <c r="F46" s="119"/>
      <c r="G46" s="119"/>
      <c r="H46" s="119"/>
    </row>
    <row r="47" customFormat="false" ht="25.5" hidden="false" customHeight="true" outlineLevel="0" collapsed="false">
      <c r="A47" s="114" t="s">
        <v>725</v>
      </c>
      <c r="B47" s="115" t="s">
        <v>270</v>
      </c>
      <c r="C47" s="116" t="s">
        <v>787</v>
      </c>
      <c r="D47" s="116"/>
      <c r="E47" s="116"/>
      <c r="F47" s="116"/>
      <c r="G47" s="116"/>
      <c r="H47" s="116"/>
    </row>
    <row r="48" customFormat="false" ht="25.5" hidden="false" customHeight="true" outlineLevel="0" collapsed="false">
      <c r="A48" s="117" t="s">
        <v>730</v>
      </c>
      <c r="B48" s="118" t="s">
        <v>232</v>
      </c>
      <c r="C48" s="119" t="s">
        <v>788</v>
      </c>
      <c r="D48" s="119"/>
      <c r="E48" s="119"/>
      <c r="F48" s="119"/>
      <c r="G48" s="119"/>
      <c r="H48" s="119"/>
    </row>
    <row r="49" customFormat="false" ht="25.5" hidden="false" customHeight="true" outlineLevel="0" collapsed="false">
      <c r="A49" s="114" t="s">
        <v>730</v>
      </c>
      <c r="B49" s="115" t="s">
        <v>244</v>
      </c>
      <c r="C49" s="116" t="s">
        <v>789</v>
      </c>
      <c r="D49" s="116"/>
      <c r="E49" s="116"/>
      <c r="F49" s="116"/>
      <c r="G49" s="116"/>
      <c r="H49" s="116"/>
    </row>
    <row r="50" customFormat="false" ht="25.5" hidden="false" customHeight="true" outlineLevel="0" collapsed="false">
      <c r="A50" s="117" t="s">
        <v>730</v>
      </c>
      <c r="B50" s="118" t="s">
        <v>251</v>
      </c>
      <c r="C50" s="119" t="s">
        <v>790</v>
      </c>
      <c r="D50" s="119"/>
      <c r="E50" s="119"/>
      <c r="F50" s="119"/>
      <c r="G50" s="119"/>
      <c r="H50" s="119"/>
    </row>
    <row r="51" customFormat="false" ht="25.5" hidden="false" customHeight="true" outlineLevel="0" collapsed="false">
      <c r="A51" s="114" t="s">
        <v>730</v>
      </c>
      <c r="B51" s="115" t="s">
        <v>260</v>
      </c>
      <c r="C51" s="116" t="s">
        <v>791</v>
      </c>
      <c r="D51" s="116"/>
      <c r="E51" s="116"/>
      <c r="F51" s="116"/>
      <c r="G51" s="116"/>
      <c r="H51" s="116"/>
    </row>
    <row r="52" customFormat="false" ht="25.5" hidden="false" customHeight="true" outlineLevel="0" collapsed="false">
      <c r="A52" s="117" t="s">
        <v>730</v>
      </c>
      <c r="B52" s="118" t="s">
        <v>270</v>
      </c>
      <c r="C52" s="120" t="s">
        <v>792</v>
      </c>
      <c r="D52" s="120"/>
      <c r="E52" s="120"/>
      <c r="F52" s="120"/>
      <c r="G52" s="120"/>
      <c r="H52" s="120"/>
    </row>
    <row r="53" customFormat="false" ht="25.5" hidden="false" customHeight="true" outlineLevel="0" collapsed="false">
      <c r="A53" s="114" t="s">
        <v>718</v>
      </c>
      <c r="B53" s="115" t="s">
        <v>232</v>
      </c>
      <c r="C53" s="116" t="s">
        <v>793</v>
      </c>
      <c r="D53" s="116"/>
      <c r="E53" s="116"/>
      <c r="F53" s="116"/>
      <c r="G53" s="116"/>
      <c r="H53" s="116"/>
    </row>
    <row r="54" customFormat="false" ht="25.5" hidden="false" customHeight="true" outlineLevel="0" collapsed="false">
      <c r="A54" s="117" t="s">
        <v>718</v>
      </c>
      <c r="B54" s="118" t="s">
        <v>244</v>
      </c>
      <c r="C54" s="119" t="s">
        <v>794</v>
      </c>
      <c r="D54" s="119"/>
      <c r="E54" s="119"/>
      <c r="F54" s="119"/>
      <c r="G54" s="119"/>
      <c r="H54" s="119"/>
    </row>
    <row r="55" customFormat="false" ht="25.5" hidden="false" customHeight="true" outlineLevel="0" collapsed="false">
      <c r="A55" s="114" t="s">
        <v>718</v>
      </c>
      <c r="B55" s="115" t="s">
        <v>251</v>
      </c>
      <c r="C55" s="116" t="s">
        <v>795</v>
      </c>
      <c r="D55" s="116"/>
      <c r="E55" s="116"/>
      <c r="F55" s="116"/>
      <c r="G55" s="116"/>
      <c r="H55" s="116"/>
    </row>
    <row r="56" customFormat="false" ht="25.5" hidden="false" customHeight="true" outlineLevel="0" collapsed="false">
      <c r="A56" s="117" t="s">
        <v>718</v>
      </c>
      <c r="B56" s="118" t="s">
        <v>260</v>
      </c>
      <c r="C56" s="119" t="s">
        <v>796</v>
      </c>
      <c r="D56" s="119"/>
      <c r="E56" s="119"/>
      <c r="F56" s="119"/>
      <c r="G56" s="119"/>
      <c r="H56" s="119"/>
    </row>
    <row r="57" customFormat="false" ht="25.5" hidden="false" customHeight="true" outlineLevel="0" collapsed="false">
      <c r="A57" s="114" t="s">
        <v>718</v>
      </c>
      <c r="B57" s="115" t="s">
        <v>270</v>
      </c>
      <c r="C57" s="116" t="s">
        <v>797</v>
      </c>
      <c r="D57" s="116"/>
      <c r="E57" s="116"/>
      <c r="F57" s="116"/>
      <c r="G57" s="116"/>
      <c r="H57" s="116"/>
    </row>
    <row r="58" customFormat="false" ht="25.5" hidden="false" customHeight="true" outlineLevel="0" collapsed="false">
      <c r="A58" s="117" t="s">
        <v>798</v>
      </c>
      <c r="B58" s="118" t="s">
        <v>232</v>
      </c>
      <c r="C58" s="119" t="s">
        <v>799</v>
      </c>
      <c r="D58" s="119"/>
      <c r="E58" s="119"/>
      <c r="F58" s="119"/>
      <c r="G58" s="119"/>
      <c r="H58" s="119"/>
    </row>
    <row r="59" customFormat="false" ht="25.5" hidden="false" customHeight="true" outlineLevel="0" collapsed="false">
      <c r="A59" s="114" t="s">
        <v>798</v>
      </c>
      <c r="B59" s="115" t="s">
        <v>244</v>
      </c>
      <c r="C59" s="116" t="s">
        <v>800</v>
      </c>
      <c r="D59" s="116"/>
      <c r="E59" s="116"/>
      <c r="F59" s="116"/>
      <c r="G59" s="116"/>
      <c r="H59" s="116"/>
    </row>
    <row r="60" customFormat="false" ht="25.5" hidden="false" customHeight="true" outlineLevel="0" collapsed="false">
      <c r="A60" s="117" t="s">
        <v>798</v>
      </c>
      <c r="B60" s="118" t="s">
        <v>251</v>
      </c>
      <c r="C60" s="119" t="s">
        <v>801</v>
      </c>
      <c r="D60" s="119"/>
      <c r="E60" s="119"/>
      <c r="F60" s="119"/>
      <c r="G60" s="119"/>
      <c r="H60" s="119"/>
    </row>
    <row r="61" customFormat="false" ht="25.5" hidden="false" customHeight="true" outlineLevel="0" collapsed="false">
      <c r="A61" s="114" t="s">
        <v>798</v>
      </c>
      <c r="B61" s="115" t="s">
        <v>260</v>
      </c>
      <c r="C61" s="116" t="s">
        <v>802</v>
      </c>
      <c r="D61" s="116"/>
      <c r="E61" s="116"/>
      <c r="F61" s="116"/>
      <c r="G61" s="116"/>
      <c r="H61" s="116"/>
    </row>
    <row r="62" customFormat="false" ht="25.5" hidden="false" customHeight="true" outlineLevel="0" collapsed="false">
      <c r="A62" s="117" t="s">
        <v>798</v>
      </c>
      <c r="B62" s="118" t="s">
        <v>270</v>
      </c>
      <c r="C62" s="119" t="s">
        <v>803</v>
      </c>
      <c r="D62" s="119"/>
      <c r="E62" s="119"/>
      <c r="F62" s="119"/>
      <c r="G62" s="119"/>
      <c r="H62" s="119"/>
    </row>
    <row r="63" customFormat="false" ht="25.5" hidden="false" customHeight="true" outlineLevel="0" collapsed="false">
      <c r="A63" s="114" t="s">
        <v>798</v>
      </c>
      <c r="B63" s="115" t="s">
        <v>280</v>
      </c>
      <c r="C63" s="116" t="s">
        <v>804</v>
      </c>
      <c r="D63" s="116"/>
      <c r="E63" s="116"/>
      <c r="F63" s="116"/>
      <c r="G63" s="116"/>
      <c r="H63" s="116"/>
    </row>
    <row r="64" customFormat="false" ht="25.5" hidden="false" customHeight="true" outlineLevel="0" collapsed="false">
      <c r="A64" s="117" t="s">
        <v>798</v>
      </c>
      <c r="B64" s="118" t="s">
        <v>290</v>
      </c>
      <c r="C64" s="119" t="s">
        <v>805</v>
      </c>
      <c r="D64" s="119"/>
      <c r="E64" s="119"/>
      <c r="F64" s="119"/>
      <c r="G64" s="119"/>
      <c r="H64" s="119"/>
    </row>
    <row r="65" customFormat="false" ht="25.5" hidden="false" customHeight="true" outlineLevel="0" collapsed="false">
      <c r="A65" s="114" t="s">
        <v>798</v>
      </c>
      <c r="B65" s="115" t="s">
        <v>298</v>
      </c>
      <c r="C65" s="116" t="s">
        <v>806</v>
      </c>
      <c r="D65" s="116"/>
      <c r="E65" s="116"/>
      <c r="F65" s="116"/>
      <c r="G65" s="116"/>
      <c r="H65" s="116"/>
    </row>
    <row r="66" customFormat="false" ht="25.5" hidden="false" customHeight="true" outlineLevel="0" collapsed="false">
      <c r="A66" s="117" t="s">
        <v>187</v>
      </c>
      <c r="B66" s="118" t="s">
        <v>232</v>
      </c>
      <c r="C66" s="119" t="s">
        <v>807</v>
      </c>
      <c r="D66" s="119"/>
      <c r="E66" s="119"/>
      <c r="F66" s="119"/>
      <c r="G66" s="119"/>
      <c r="H66" s="119"/>
    </row>
    <row r="67" customFormat="false" ht="25.5" hidden="false" customHeight="true" outlineLevel="0" collapsed="false">
      <c r="A67" s="114" t="s">
        <v>187</v>
      </c>
      <c r="B67" s="115" t="s">
        <v>244</v>
      </c>
      <c r="C67" s="116" t="s">
        <v>808</v>
      </c>
      <c r="D67" s="116"/>
      <c r="E67" s="116"/>
      <c r="F67" s="116"/>
      <c r="G67" s="116"/>
      <c r="H67" s="116"/>
    </row>
    <row r="68" customFormat="false" ht="25.5" hidden="false" customHeight="true" outlineLevel="0" collapsed="false">
      <c r="A68" s="117" t="s">
        <v>187</v>
      </c>
      <c r="B68" s="118" t="s">
        <v>251</v>
      </c>
      <c r="C68" s="119" t="s">
        <v>809</v>
      </c>
      <c r="D68" s="119"/>
      <c r="E68" s="119"/>
      <c r="F68" s="119"/>
      <c r="G68" s="119"/>
      <c r="H68" s="119"/>
    </row>
  </sheetData>
  <mergeCells count="30">
    <mergeCell ref="A4:H4"/>
    <mergeCell ref="A5:H5"/>
    <mergeCell ref="A6:H6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</mergeCells>
  <conditionalFormatting sqref="H9:H20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H9:H20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25"/>
    <col collapsed="false" customWidth="true" hidden="false" outlineLevel="0" max="2" min="2" style="0" width="22.5"/>
    <col collapsed="false" customWidth="true" hidden="false" outlineLevel="0" max="3" min="3" style="0" width="40.63"/>
    <col collapsed="false" customWidth="true" hidden="false" outlineLevel="0" max="4" min="4" style="0" width="42.5"/>
    <col collapsed="false" customWidth="true" hidden="false" outlineLevel="0" max="5" min="5" style="0" width="15.63"/>
    <col collapsed="false" customWidth="true" hidden="false" outlineLevel="0" max="6" min="6" style="0" width="37.5"/>
    <col collapsed="false" customWidth="true" hidden="false" outlineLevel="0" max="7" min="7" style="0" width="2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</row>
    <row r="2" customFormat="false" ht="36" hidden="false" customHeight="true" outlineLevel="0" collapsed="false">
      <c r="A2" s="121" t="s">
        <v>810</v>
      </c>
      <c r="B2" s="59"/>
      <c r="C2" s="59"/>
      <c r="D2" s="59"/>
      <c r="E2" s="59"/>
      <c r="F2" s="59"/>
      <c r="G2" s="59"/>
    </row>
    <row r="3" customFormat="false" ht="18" hidden="false" customHeight="true" outlineLevel="0" collapsed="false">
      <c r="A3" s="60" t="s">
        <v>811</v>
      </c>
      <c r="B3" s="61"/>
      <c r="C3" s="61"/>
      <c r="D3" s="61"/>
      <c r="E3" s="61"/>
      <c r="F3" s="61"/>
      <c r="G3" s="61"/>
    </row>
    <row r="4" customFormat="false" ht="24.75" hidden="false" customHeight="true" outlineLevel="0" collapsed="false">
      <c r="A4" s="65" t="s">
        <v>812</v>
      </c>
      <c r="B4" s="65"/>
      <c r="C4" s="65"/>
      <c r="D4" s="65"/>
      <c r="E4" s="65"/>
      <c r="F4" s="65"/>
      <c r="G4" s="65"/>
    </row>
    <row r="5" customFormat="false" ht="24.75" hidden="false" customHeight="true" outlineLevel="0" collapsed="false">
      <c r="A5" s="65" t="s">
        <v>813</v>
      </c>
      <c r="B5" s="65"/>
      <c r="C5" s="65"/>
      <c r="D5" s="65"/>
      <c r="E5" s="65"/>
      <c r="F5" s="65"/>
      <c r="G5" s="65"/>
    </row>
    <row r="6" customFormat="false" ht="24.75" hidden="false" customHeight="true" outlineLevel="0" collapsed="false">
      <c r="A6" s="65" t="s">
        <v>814</v>
      </c>
      <c r="B6" s="65"/>
      <c r="C6" s="65"/>
      <c r="D6" s="65"/>
      <c r="E6" s="65"/>
      <c r="F6" s="65"/>
      <c r="G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</row>
    <row r="8" customFormat="false" ht="33.75" hidden="false" customHeight="true" outlineLevel="0" collapsed="false">
      <c r="A8" s="8" t="s">
        <v>815</v>
      </c>
      <c r="B8" s="8" t="s">
        <v>816</v>
      </c>
      <c r="C8" s="8" t="s">
        <v>817</v>
      </c>
      <c r="D8" s="8" t="s">
        <v>818</v>
      </c>
      <c r="E8" s="8" t="s">
        <v>219</v>
      </c>
      <c r="F8" s="8" t="s">
        <v>819</v>
      </c>
      <c r="G8" s="8" t="s">
        <v>820</v>
      </c>
    </row>
    <row r="9" customFormat="false" ht="39.75" hidden="false" customHeight="true" outlineLevel="0" collapsed="false">
      <c r="A9" s="87" t="s">
        <v>232</v>
      </c>
      <c r="B9" s="72" t="s">
        <v>821</v>
      </c>
      <c r="C9" s="72" t="s">
        <v>822</v>
      </c>
      <c r="D9" s="73" t="s">
        <v>823</v>
      </c>
      <c r="E9" s="85" t="s">
        <v>824</v>
      </c>
      <c r="F9" s="73" t="s">
        <v>825</v>
      </c>
      <c r="G9" s="73" t="s">
        <v>826</v>
      </c>
    </row>
    <row r="10" customFormat="false" ht="39.75" hidden="false" customHeight="true" outlineLevel="0" collapsed="false">
      <c r="A10" s="88" t="s">
        <v>244</v>
      </c>
      <c r="B10" s="90" t="s">
        <v>827</v>
      </c>
      <c r="C10" s="80" t="s">
        <v>828</v>
      </c>
      <c r="D10" s="81" t="s">
        <v>829</v>
      </c>
      <c r="E10" s="83" t="s">
        <v>830</v>
      </c>
      <c r="F10" s="81" t="s">
        <v>831</v>
      </c>
      <c r="G10" s="81" t="s">
        <v>832</v>
      </c>
    </row>
    <row r="11" customFormat="false" ht="39.75" hidden="false" customHeight="true" outlineLevel="0" collapsed="false">
      <c r="A11" s="87" t="s">
        <v>251</v>
      </c>
      <c r="B11" s="72" t="s">
        <v>319</v>
      </c>
      <c r="C11" s="72" t="s">
        <v>833</v>
      </c>
      <c r="D11" s="73" t="s">
        <v>834</v>
      </c>
      <c r="E11" s="85" t="s">
        <v>835</v>
      </c>
      <c r="F11" s="73" t="s">
        <v>836</v>
      </c>
      <c r="G11" s="73" t="s">
        <v>837</v>
      </c>
    </row>
    <row r="12" customFormat="false" ht="39.75" hidden="false" customHeight="true" outlineLevel="0" collapsed="false">
      <c r="A12" s="88" t="s">
        <v>260</v>
      </c>
      <c r="B12" s="80" t="s">
        <v>359</v>
      </c>
      <c r="C12" s="80" t="s">
        <v>838</v>
      </c>
      <c r="D12" s="81" t="s">
        <v>839</v>
      </c>
      <c r="E12" s="83" t="s">
        <v>637</v>
      </c>
      <c r="F12" s="81" t="s">
        <v>840</v>
      </c>
      <c r="G12" s="81" t="s">
        <v>841</v>
      </c>
    </row>
    <row r="13" customFormat="false" ht="39.75" hidden="false" customHeight="true" outlineLevel="0" collapsed="false">
      <c r="A13" s="87" t="s">
        <v>270</v>
      </c>
      <c r="B13" s="72" t="s">
        <v>374</v>
      </c>
      <c r="C13" s="72" t="s">
        <v>842</v>
      </c>
      <c r="D13" s="73" t="s">
        <v>843</v>
      </c>
      <c r="E13" s="85" t="s">
        <v>844</v>
      </c>
      <c r="F13" s="73" t="s">
        <v>845</v>
      </c>
      <c r="G13" s="73" t="s">
        <v>846</v>
      </c>
    </row>
    <row r="14" customFormat="false" ht="39.75" hidden="false" customHeight="true" outlineLevel="0" collapsed="false">
      <c r="A14" s="88" t="s">
        <v>280</v>
      </c>
      <c r="B14" s="80" t="s">
        <v>382</v>
      </c>
      <c r="C14" s="80" t="s">
        <v>847</v>
      </c>
      <c r="D14" s="81" t="s">
        <v>848</v>
      </c>
      <c r="E14" s="83" t="s">
        <v>630</v>
      </c>
      <c r="F14" s="82" t="s">
        <v>849</v>
      </c>
      <c r="G14" s="81" t="s">
        <v>850</v>
      </c>
    </row>
    <row r="15" customFormat="false" ht="39.75" hidden="false" customHeight="true" outlineLevel="0" collapsed="false">
      <c r="A15" s="87" t="s">
        <v>290</v>
      </c>
      <c r="B15" s="72" t="s">
        <v>396</v>
      </c>
      <c r="C15" s="72" t="s">
        <v>851</v>
      </c>
      <c r="D15" s="73" t="s">
        <v>852</v>
      </c>
      <c r="E15" s="85" t="s">
        <v>853</v>
      </c>
      <c r="F15" s="73" t="s">
        <v>854</v>
      </c>
      <c r="G15" s="73" t="s">
        <v>855</v>
      </c>
    </row>
    <row r="16" customFormat="false" ht="39.75" hidden="false" customHeight="true" outlineLevel="0" collapsed="false">
      <c r="A16" s="88" t="s">
        <v>298</v>
      </c>
      <c r="B16" s="80" t="s">
        <v>417</v>
      </c>
      <c r="C16" s="80" t="s">
        <v>856</v>
      </c>
      <c r="D16" s="81" t="s">
        <v>852</v>
      </c>
      <c r="E16" s="83" t="s">
        <v>577</v>
      </c>
      <c r="F16" s="81" t="s">
        <v>857</v>
      </c>
      <c r="G16" s="81" t="s">
        <v>855</v>
      </c>
    </row>
    <row r="17" customFormat="false" ht="39.75" hidden="false" customHeight="true" outlineLevel="0" collapsed="false">
      <c r="A17" s="87" t="s">
        <v>307</v>
      </c>
      <c r="B17" s="72" t="s">
        <v>430</v>
      </c>
      <c r="C17" s="72" t="s">
        <v>858</v>
      </c>
      <c r="D17" s="73" t="s">
        <v>852</v>
      </c>
      <c r="E17" s="85" t="s">
        <v>625</v>
      </c>
      <c r="F17" s="73" t="s">
        <v>859</v>
      </c>
      <c r="G17" s="73" t="s">
        <v>860</v>
      </c>
    </row>
    <row r="18" customFormat="false" ht="39.75" hidden="false" customHeight="true" outlineLevel="0" collapsed="false">
      <c r="A18" s="88" t="s">
        <v>317</v>
      </c>
      <c r="B18" s="80" t="s">
        <v>443</v>
      </c>
      <c r="C18" s="80" t="s">
        <v>861</v>
      </c>
      <c r="D18" s="81" t="s">
        <v>852</v>
      </c>
      <c r="E18" s="83" t="s">
        <v>862</v>
      </c>
      <c r="F18" s="81" t="s">
        <v>863</v>
      </c>
      <c r="G18" s="81" t="s">
        <v>855</v>
      </c>
    </row>
    <row r="19" customFormat="false" ht="39.75" hidden="false" customHeight="true" outlineLevel="0" collapsed="false">
      <c r="A19" s="87" t="s">
        <v>327</v>
      </c>
      <c r="B19" s="72" t="s">
        <v>864</v>
      </c>
      <c r="C19" s="72" t="s">
        <v>865</v>
      </c>
      <c r="D19" s="86" t="s">
        <v>866</v>
      </c>
      <c r="E19" s="85" t="s">
        <v>867</v>
      </c>
      <c r="F19" s="73" t="s">
        <v>868</v>
      </c>
      <c r="G19" s="86" t="s">
        <v>869</v>
      </c>
    </row>
    <row r="20" customFormat="false" ht="39.75" hidden="false" customHeight="true" outlineLevel="0" collapsed="false">
      <c r="A20" s="88" t="s">
        <v>333</v>
      </c>
      <c r="B20" s="80" t="s">
        <v>870</v>
      </c>
      <c r="C20" s="80" t="s">
        <v>871</v>
      </c>
      <c r="D20" s="81" t="s">
        <v>872</v>
      </c>
      <c r="E20" s="83" t="s">
        <v>873</v>
      </c>
      <c r="F20" s="82" t="s">
        <v>874</v>
      </c>
      <c r="G20" s="81" t="s">
        <v>855</v>
      </c>
    </row>
    <row r="21" customFormat="false" ht="39.75" hidden="false" customHeight="true" outlineLevel="0" collapsed="false">
      <c r="A21" s="87" t="s">
        <v>341</v>
      </c>
      <c r="B21" s="72" t="s">
        <v>875</v>
      </c>
      <c r="C21" s="72" t="s">
        <v>876</v>
      </c>
      <c r="D21" s="73" t="s">
        <v>877</v>
      </c>
      <c r="E21" s="85" t="s">
        <v>629</v>
      </c>
      <c r="F21" s="73" t="s">
        <v>878</v>
      </c>
      <c r="G21" s="73" t="s">
        <v>860</v>
      </c>
    </row>
    <row r="22" customFormat="false" ht="39.75" hidden="false" customHeight="true" outlineLevel="0" collapsed="false">
      <c r="A22" s="88" t="s">
        <v>347</v>
      </c>
      <c r="B22" s="80" t="s">
        <v>879</v>
      </c>
      <c r="C22" s="80" t="s">
        <v>880</v>
      </c>
      <c r="D22" s="81" t="s">
        <v>881</v>
      </c>
      <c r="E22" s="83" t="s">
        <v>882</v>
      </c>
      <c r="F22" s="81" t="s">
        <v>883</v>
      </c>
      <c r="G22" s="81" t="s">
        <v>884</v>
      </c>
    </row>
    <row r="23" customFormat="false" ht="39.75" hidden="false" customHeight="true" outlineLevel="0" collapsed="false">
      <c r="A23" s="87" t="s">
        <v>357</v>
      </c>
      <c r="B23" s="72" t="s">
        <v>494</v>
      </c>
      <c r="C23" s="72" t="s">
        <v>885</v>
      </c>
      <c r="D23" s="73" t="s">
        <v>886</v>
      </c>
      <c r="E23" s="85" t="s">
        <v>887</v>
      </c>
      <c r="F23" s="73" t="s">
        <v>888</v>
      </c>
      <c r="G23" s="73" t="s">
        <v>889</v>
      </c>
    </row>
    <row r="24" customFormat="false" ht="39.75" hidden="false" customHeight="true" outlineLevel="0" collapsed="false">
      <c r="A24" s="88" t="s">
        <v>365</v>
      </c>
      <c r="B24" s="80" t="s">
        <v>409</v>
      </c>
      <c r="C24" s="80" t="s">
        <v>890</v>
      </c>
      <c r="D24" s="81" t="s">
        <v>891</v>
      </c>
      <c r="E24" s="83" t="s">
        <v>602</v>
      </c>
      <c r="F24" s="81" t="s">
        <v>892</v>
      </c>
      <c r="G24" s="81" t="s">
        <v>893</v>
      </c>
    </row>
    <row r="25" customFormat="false" ht="39.75" hidden="false" customHeight="true" outlineLevel="0" collapsed="false">
      <c r="A25" s="87" t="s">
        <v>372</v>
      </c>
      <c r="B25" s="72" t="s">
        <v>894</v>
      </c>
      <c r="C25" s="72" t="s">
        <v>895</v>
      </c>
      <c r="D25" s="73" t="s">
        <v>896</v>
      </c>
      <c r="E25" s="85" t="s">
        <v>897</v>
      </c>
      <c r="F25" s="73" t="s">
        <v>898</v>
      </c>
      <c r="G25" s="73" t="s">
        <v>899</v>
      </c>
    </row>
    <row r="26" customFormat="false" ht="39.75" hidden="false" customHeight="true" outlineLevel="0" collapsed="false">
      <c r="A26" s="88" t="s">
        <v>380</v>
      </c>
      <c r="B26" s="80" t="s">
        <v>900</v>
      </c>
      <c r="C26" s="80" t="s">
        <v>901</v>
      </c>
      <c r="D26" s="81" t="s">
        <v>902</v>
      </c>
      <c r="E26" s="83" t="s">
        <v>903</v>
      </c>
      <c r="F26" s="81" t="s">
        <v>904</v>
      </c>
      <c r="G26" s="81" t="s">
        <v>905</v>
      </c>
    </row>
    <row r="27" customFormat="false" ht="39.75" hidden="false" customHeight="true" outlineLevel="0" collapsed="false">
      <c r="A27" s="87" t="s">
        <v>389</v>
      </c>
      <c r="B27" s="72" t="s">
        <v>906</v>
      </c>
      <c r="C27" s="72" t="s">
        <v>907</v>
      </c>
      <c r="D27" s="86" t="s">
        <v>908</v>
      </c>
      <c r="E27" s="85" t="s">
        <v>347</v>
      </c>
      <c r="F27" s="73" t="s">
        <v>909</v>
      </c>
      <c r="G27" s="73" t="s">
        <v>910</v>
      </c>
    </row>
  </sheetData>
  <mergeCells count="3">
    <mergeCell ref="A4:G4"/>
    <mergeCell ref="A5:G5"/>
    <mergeCell ref="A6:G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C15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0"/>
  </cols>
  <sheetData>
    <row r="1" customFormat="false" ht="39.75" hidden="false" customHeight="true" outlineLevel="0" collapsed="false">
      <c r="A1" s="59"/>
      <c r="B1" s="59"/>
      <c r="C1" s="59"/>
    </row>
    <row r="2" customFormat="false" ht="36" hidden="false" customHeight="true" outlineLevel="0" collapsed="false">
      <c r="A2" s="122" t="s">
        <v>911</v>
      </c>
      <c r="B2" s="122"/>
      <c r="C2" s="122"/>
    </row>
    <row r="3" customFormat="false" ht="39.75" hidden="false" customHeight="true" outlineLevel="0" collapsed="false">
      <c r="A3" s="29" t="s">
        <v>912</v>
      </c>
      <c r="B3" s="59"/>
      <c r="C3" s="59"/>
    </row>
    <row r="4" customFormat="false" ht="39.75" hidden="false" customHeight="true" outlineLevel="0" collapsed="false">
      <c r="A4" s="65" t="s">
        <v>913</v>
      </c>
      <c r="B4" s="65"/>
      <c r="C4" s="65"/>
    </row>
    <row r="5" customFormat="false" ht="39.75" hidden="false" customHeight="true" outlineLevel="0" collapsed="false">
      <c r="A5" s="65"/>
      <c r="B5" s="65"/>
      <c r="C5" s="65"/>
    </row>
    <row r="6" customFormat="false" ht="39.75" hidden="false" customHeight="true" outlineLevel="0" collapsed="false">
      <c r="A6" s="59"/>
      <c r="B6" s="59"/>
      <c r="C6" s="59"/>
    </row>
    <row r="7" customFormat="false" ht="39.75" hidden="false" customHeight="true" outlineLevel="0" collapsed="false">
      <c r="A7" s="59"/>
      <c r="B7" s="59"/>
      <c r="C7" s="59"/>
    </row>
    <row r="8" customFormat="false" ht="30" hidden="false" customHeight="true" outlineLevel="0" collapsed="false">
      <c r="A8" s="68" t="s">
        <v>914</v>
      </c>
      <c r="B8" s="68"/>
      <c r="C8" s="68"/>
    </row>
    <row r="9" customFormat="false" ht="60" hidden="false" customHeight="true" outlineLevel="0" collapsed="false">
      <c r="A9" s="59"/>
      <c r="B9" s="59"/>
      <c r="C9" s="59"/>
    </row>
    <row r="10" customFormat="false" ht="60" hidden="false" customHeight="true" outlineLevel="0" collapsed="false">
      <c r="A10" s="59"/>
      <c r="B10" s="59"/>
      <c r="C10" s="59"/>
    </row>
    <row r="11" customFormat="false" ht="60" hidden="false" customHeight="true" outlineLevel="0" collapsed="false">
      <c r="A11" s="59"/>
      <c r="B11" s="59"/>
      <c r="C11" s="59"/>
    </row>
    <row r="12" customFormat="false" ht="60" hidden="false" customHeight="true" outlineLevel="0" collapsed="false">
      <c r="A12" s="59"/>
      <c r="B12" s="59"/>
      <c r="C12" s="59"/>
    </row>
    <row r="13" customFormat="false" ht="60" hidden="false" customHeight="true" outlineLevel="0" collapsed="false">
      <c r="A13" s="59"/>
      <c r="B13" s="59"/>
      <c r="C13" s="59"/>
    </row>
    <row r="14" customFormat="false" ht="60" hidden="false" customHeight="true" outlineLevel="0" collapsed="false">
      <c r="A14" s="59"/>
      <c r="B14" s="59"/>
      <c r="C14" s="59"/>
    </row>
    <row r="15" customFormat="false" ht="60" hidden="false" customHeight="true" outlineLevel="0" collapsed="false">
      <c r="A15" s="59"/>
      <c r="B15" s="59"/>
      <c r="C15" s="59"/>
    </row>
    <row r="16" customFormat="false" ht="60" hidden="false" customHeight="true" outlineLevel="0" collapsed="false">
      <c r="A16" s="59"/>
      <c r="B16" s="59"/>
      <c r="C16" s="59"/>
    </row>
    <row r="17" customFormat="false" ht="45" hidden="false" customHeight="true" outlineLevel="0" collapsed="false">
      <c r="A17" s="123" t="s">
        <v>915</v>
      </c>
      <c r="B17" s="123"/>
      <c r="C17" s="123"/>
    </row>
    <row r="18" customFormat="false" ht="30" hidden="false" customHeight="true" outlineLevel="0" collapsed="false">
      <c r="A18" s="68" t="s">
        <v>916</v>
      </c>
      <c r="B18" s="68" t="s">
        <v>917</v>
      </c>
      <c r="C18" s="68" t="s">
        <v>918</v>
      </c>
    </row>
    <row r="19" customFormat="false" ht="60" hidden="false" customHeight="true" outlineLevel="0" collapsed="false">
      <c r="A19" s="59"/>
      <c r="B19" s="59"/>
      <c r="C19" s="59"/>
    </row>
    <row r="20" customFormat="false" ht="60" hidden="false" customHeight="true" outlineLevel="0" collapsed="false">
      <c r="A20" s="59"/>
      <c r="B20" s="59"/>
      <c r="C20" s="59"/>
    </row>
    <row r="21" customFormat="false" ht="60" hidden="false" customHeight="true" outlineLevel="0" collapsed="false">
      <c r="A21" s="59"/>
      <c r="B21" s="59"/>
      <c r="C21" s="59"/>
    </row>
    <row r="22" customFormat="false" ht="60" hidden="false" customHeight="true" outlineLevel="0" collapsed="false">
      <c r="A22" s="59"/>
      <c r="B22" s="59"/>
      <c r="C22" s="59"/>
    </row>
    <row r="23" customFormat="false" ht="60" hidden="false" customHeight="true" outlineLevel="0" collapsed="false">
      <c r="A23" s="59"/>
      <c r="B23" s="59"/>
      <c r="C23" s="59"/>
    </row>
    <row r="24" customFormat="false" ht="60" hidden="false" customHeight="true" outlineLevel="0" collapsed="false">
      <c r="A24" s="59"/>
      <c r="B24" s="59"/>
      <c r="C24" s="59"/>
    </row>
    <row r="25" customFormat="false" ht="60" hidden="false" customHeight="true" outlineLevel="0" collapsed="false">
      <c r="A25" s="59"/>
      <c r="B25" s="59"/>
      <c r="C25" s="59"/>
    </row>
    <row r="26" customFormat="false" ht="60" hidden="false" customHeight="true" outlineLevel="0" collapsed="false">
      <c r="A26" s="59"/>
      <c r="B26" s="59"/>
      <c r="C26" s="59"/>
    </row>
    <row r="27" customFormat="false" ht="45" hidden="false" customHeight="true" outlineLevel="0" collapsed="false">
      <c r="A27" s="123" t="s">
        <v>919</v>
      </c>
      <c r="B27" s="123" t="s">
        <v>919</v>
      </c>
      <c r="C27" s="123" t="s">
        <v>920</v>
      </c>
    </row>
    <row r="28" customFormat="false" ht="30" hidden="false" customHeight="true" outlineLevel="0" collapsed="false">
      <c r="A28" s="68" t="s">
        <v>921</v>
      </c>
      <c r="B28" s="68" t="s">
        <v>922</v>
      </c>
      <c r="C28" s="68" t="s">
        <v>923</v>
      </c>
    </row>
    <row r="29" customFormat="false" ht="60" hidden="false" customHeight="true" outlineLevel="0" collapsed="false">
      <c r="A29" s="59"/>
      <c r="B29" s="59"/>
      <c r="C29" s="59"/>
    </row>
    <row r="30" customFormat="false" ht="60" hidden="false" customHeight="true" outlineLevel="0" collapsed="false">
      <c r="A30" s="59"/>
      <c r="B30" s="59"/>
      <c r="C30" s="59"/>
    </row>
    <row r="31" customFormat="false" ht="60" hidden="false" customHeight="true" outlineLevel="0" collapsed="false">
      <c r="A31" s="59"/>
      <c r="B31" s="59"/>
      <c r="C31" s="59"/>
    </row>
    <row r="32" customFormat="false" ht="60" hidden="false" customHeight="true" outlineLevel="0" collapsed="false">
      <c r="A32" s="59"/>
      <c r="B32" s="59"/>
      <c r="C32" s="59"/>
    </row>
    <row r="33" customFormat="false" ht="60" hidden="false" customHeight="true" outlineLevel="0" collapsed="false">
      <c r="A33" s="59"/>
      <c r="B33" s="59"/>
      <c r="C33" s="59"/>
    </row>
    <row r="34" customFormat="false" ht="60" hidden="false" customHeight="true" outlineLevel="0" collapsed="false">
      <c r="A34" s="59"/>
      <c r="B34" s="59"/>
      <c r="C34" s="59"/>
    </row>
    <row r="35" customFormat="false" ht="60" hidden="false" customHeight="true" outlineLevel="0" collapsed="false">
      <c r="A35" s="59"/>
      <c r="B35" s="59"/>
      <c r="C35" s="59"/>
    </row>
    <row r="36" customFormat="false" ht="60" hidden="false" customHeight="true" outlineLevel="0" collapsed="false">
      <c r="A36" s="59"/>
      <c r="B36" s="59"/>
      <c r="C36" s="59"/>
    </row>
    <row r="37" customFormat="false" ht="45" hidden="false" customHeight="true" outlineLevel="0" collapsed="false">
      <c r="A37" s="123" t="s">
        <v>924</v>
      </c>
      <c r="B37" s="123" t="s">
        <v>925</v>
      </c>
      <c r="C37" s="123" t="s">
        <v>926</v>
      </c>
    </row>
    <row r="38" customFormat="false" ht="30" hidden="false" customHeight="true" outlineLevel="0" collapsed="false">
      <c r="A38" s="68" t="s">
        <v>927</v>
      </c>
      <c r="B38" s="68" t="s">
        <v>928</v>
      </c>
      <c r="C38" s="68" t="s">
        <v>929</v>
      </c>
    </row>
    <row r="39" customFormat="false" ht="60" hidden="false" customHeight="true" outlineLevel="0" collapsed="false">
      <c r="A39" s="59"/>
      <c r="B39" s="59"/>
      <c r="C39" s="59"/>
    </row>
    <row r="40" customFormat="false" ht="60" hidden="false" customHeight="true" outlineLevel="0" collapsed="false">
      <c r="A40" s="59"/>
      <c r="B40" s="59"/>
      <c r="C40" s="59"/>
    </row>
    <row r="41" customFormat="false" ht="60" hidden="false" customHeight="true" outlineLevel="0" collapsed="false">
      <c r="A41" s="59"/>
      <c r="B41" s="59"/>
      <c r="C41" s="59"/>
    </row>
    <row r="42" customFormat="false" ht="60" hidden="false" customHeight="true" outlineLevel="0" collapsed="false">
      <c r="A42" s="59"/>
      <c r="B42" s="59"/>
      <c r="C42" s="59"/>
    </row>
    <row r="43" customFormat="false" ht="60" hidden="false" customHeight="true" outlineLevel="0" collapsed="false">
      <c r="A43" s="59"/>
      <c r="B43" s="59"/>
      <c r="C43" s="59"/>
    </row>
    <row r="44" customFormat="false" ht="60" hidden="false" customHeight="true" outlineLevel="0" collapsed="false">
      <c r="A44" s="59"/>
      <c r="B44" s="59"/>
      <c r="C44" s="59"/>
    </row>
    <row r="45" customFormat="false" ht="60" hidden="false" customHeight="true" outlineLevel="0" collapsed="false">
      <c r="A45" s="59"/>
      <c r="B45" s="59"/>
      <c r="C45" s="59"/>
    </row>
    <row r="46" customFormat="false" ht="60" hidden="false" customHeight="true" outlineLevel="0" collapsed="false">
      <c r="A46" s="59"/>
      <c r="B46" s="59"/>
      <c r="C46" s="59"/>
    </row>
    <row r="47" customFormat="false" ht="45" hidden="false" customHeight="true" outlineLevel="0" collapsed="false">
      <c r="A47" s="123" t="s">
        <v>930</v>
      </c>
      <c r="B47" s="123" t="s">
        <v>931</v>
      </c>
      <c r="C47" s="123" t="s">
        <v>932</v>
      </c>
    </row>
    <row r="48" customFormat="false" ht="30" hidden="false" customHeight="true" outlineLevel="0" collapsed="false">
      <c r="A48" s="68" t="s">
        <v>933</v>
      </c>
      <c r="B48" s="68" t="s">
        <v>934</v>
      </c>
      <c r="C48" s="68" t="s">
        <v>935</v>
      </c>
    </row>
    <row r="49" customFormat="false" ht="60" hidden="false" customHeight="true" outlineLevel="0" collapsed="false">
      <c r="A49" s="59"/>
      <c r="B49" s="59"/>
      <c r="C49" s="59"/>
    </row>
    <row r="50" customFormat="false" ht="60" hidden="false" customHeight="true" outlineLevel="0" collapsed="false">
      <c r="A50" s="59"/>
      <c r="B50" s="59"/>
      <c r="C50" s="59"/>
    </row>
    <row r="51" customFormat="false" ht="60" hidden="false" customHeight="true" outlineLevel="0" collapsed="false">
      <c r="A51" s="59"/>
      <c r="B51" s="59"/>
      <c r="C51" s="59"/>
    </row>
    <row r="52" customFormat="false" ht="60" hidden="false" customHeight="true" outlineLevel="0" collapsed="false">
      <c r="A52" s="59"/>
      <c r="B52" s="59"/>
      <c r="C52" s="59"/>
    </row>
    <row r="53" customFormat="false" ht="60" hidden="false" customHeight="true" outlineLevel="0" collapsed="false">
      <c r="A53" s="59"/>
      <c r="B53" s="59"/>
      <c r="C53" s="59"/>
    </row>
    <row r="54" customFormat="false" ht="60" hidden="false" customHeight="true" outlineLevel="0" collapsed="false">
      <c r="A54" s="59"/>
      <c r="B54" s="59"/>
      <c r="C54" s="59"/>
    </row>
    <row r="55" customFormat="false" ht="60" hidden="false" customHeight="true" outlineLevel="0" collapsed="false">
      <c r="A55" s="59"/>
      <c r="B55" s="59"/>
      <c r="C55" s="59"/>
    </row>
    <row r="56" customFormat="false" ht="60" hidden="false" customHeight="true" outlineLevel="0" collapsed="false">
      <c r="A56" s="59"/>
      <c r="B56" s="59"/>
      <c r="C56" s="59"/>
    </row>
    <row r="57" customFormat="false" ht="45" hidden="false" customHeight="true" outlineLevel="0" collapsed="false">
      <c r="A57" s="123" t="s">
        <v>932</v>
      </c>
      <c r="B57" s="123" t="s">
        <v>932</v>
      </c>
      <c r="C57" s="123" t="s">
        <v>936</v>
      </c>
    </row>
    <row r="58" customFormat="false" ht="30" hidden="false" customHeight="true" outlineLevel="0" collapsed="false">
      <c r="A58" s="68" t="s">
        <v>937</v>
      </c>
      <c r="B58" s="68" t="s">
        <v>938</v>
      </c>
      <c r="C58" s="68" t="s">
        <v>939</v>
      </c>
    </row>
    <row r="59" customFormat="false" ht="60" hidden="false" customHeight="true" outlineLevel="0" collapsed="false">
      <c r="A59" s="59"/>
      <c r="B59" s="59"/>
      <c r="C59" s="59"/>
    </row>
    <row r="60" customFormat="false" ht="60" hidden="false" customHeight="true" outlineLevel="0" collapsed="false">
      <c r="A60" s="59"/>
      <c r="B60" s="59"/>
      <c r="C60" s="59"/>
    </row>
    <row r="61" customFormat="false" ht="60" hidden="false" customHeight="true" outlineLevel="0" collapsed="false">
      <c r="A61" s="59"/>
      <c r="B61" s="59"/>
      <c r="C61" s="59"/>
    </row>
    <row r="62" customFormat="false" ht="60" hidden="false" customHeight="true" outlineLevel="0" collapsed="false">
      <c r="A62" s="59"/>
      <c r="B62" s="59"/>
      <c r="C62" s="59"/>
    </row>
    <row r="63" customFormat="false" ht="60" hidden="false" customHeight="true" outlineLevel="0" collapsed="false">
      <c r="A63" s="59"/>
      <c r="B63" s="59"/>
      <c r="C63" s="59"/>
    </row>
    <row r="64" customFormat="false" ht="60" hidden="false" customHeight="true" outlineLevel="0" collapsed="false">
      <c r="A64" s="59"/>
      <c r="B64" s="59"/>
      <c r="C64" s="59"/>
    </row>
    <row r="65" customFormat="false" ht="60" hidden="false" customHeight="true" outlineLevel="0" collapsed="false">
      <c r="A65" s="59"/>
      <c r="B65" s="59"/>
      <c r="C65" s="59"/>
    </row>
    <row r="66" customFormat="false" ht="60" hidden="false" customHeight="true" outlineLevel="0" collapsed="false">
      <c r="A66" s="59"/>
      <c r="B66" s="59"/>
      <c r="C66" s="59"/>
    </row>
    <row r="67" customFormat="false" ht="45" hidden="false" customHeight="true" outlineLevel="0" collapsed="false">
      <c r="A67" s="123" t="s">
        <v>940</v>
      </c>
      <c r="B67" s="123" t="s">
        <v>941</v>
      </c>
      <c r="C67" s="123" t="s">
        <v>941</v>
      </c>
    </row>
    <row r="68" customFormat="false" ht="30" hidden="false" customHeight="true" outlineLevel="0" collapsed="false">
      <c r="A68" s="68" t="s">
        <v>942</v>
      </c>
      <c r="B68" s="68" t="s">
        <v>943</v>
      </c>
      <c r="C68" s="68" t="s">
        <v>944</v>
      </c>
    </row>
    <row r="69" customFormat="false" ht="60" hidden="false" customHeight="true" outlineLevel="0" collapsed="false">
      <c r="A69" s="59"/>
      <c r="B69" s="59"/>
      <c r="C69" s="59"/>
    </row>
    <row r="70" customFormat="false" ht="60" hidden="false" customHeight="true" outlineLevel="0" collapsed="false">
      <c r="A70" s="59"/>
      <c r="B70" s="59"/>
      <c r="C70" s="59"/>
    </row>
    <row r="71" customFormat="false" ht="60" hidden="false" customHeight="true" outlineLevel="0" collapsed="false">
      <c r="A71" s="59"/>
      <c r="B71" s="59"/>
      <c r="C71" s="59"/>
    </row>
    <row r="72" customFormat="false" ht="60" hidden="false" customHeight="true" outlineLevel="0" collapsed="false">
      <c r="A72" s="59"/>
      <c r="B72" s="59"/>
      <c r="C72" s="59"/>
    </row>
    <row r="73" customFormat="false" ht="60" hidden="false" customHeight="true" outlineLevel="0" collapsed="false">
      <c r="A73" s="59"/>
      <c r="B73" s="59"/>
      <c r="C73" s="59"/>
    </row>
    <row r="74" customFormat="false" ht="60" hidden="false" customHeight="true" outlineLevel="0" collapsed="false">
      <c r="A74" s="59"/>
      <c r="B74" s="59"/>
      <c r="C74" s="59"/>
    </row>
    <row r="75" customFormat="false" ht="60" hidden="false" customHeight="true" outlineLevel="0" collapsed="false">
      <c r="A75" s="59"/>
      <c r="B75" s="59"/>
      <c r="C75" s="59"/>
    </row>
    <row r="76" customFormat="false" ht="60" hidden="false" customHeight="true" outlineLevel="0" collapsed="false">
      <c r="A76" s="59"/>
      <c r="B76" s="59"/>
      <c r="C76" s="59"/>
    </row>
    <row r="77" customFormat="false" ht="45" hidden="false" customHeight="true" outlineLevel="0" collapsed="false">
      <c r="A77" s="123" t="s">
        <v>945</v>
      </c>
      <c r="B77" s="123" t="s">
        <v>946</v>
      </c>
      <c r="C77" s="123" t="s">
        <v>946</v>
      </c>
    </row>
    <row r="78" customFormat="false" ht="30" hidden="false" customHeight="true" outlineLevel="0" collapsed="false">
      <c r="A78" s="68" t="s">
        <v>947</v>
      </c>
      <c r="B78" s="68" t="s">
        <v>948</v>
      </c>
      <c r="C78" s="68" t="s">
        <v>949</v>
      </c>
    </row>
    <row r="79" customFormat="false" ht="60" hidden="false" customHeight="true" outlineLevel="0" collapsed="false">
      <c r="A79" s="59"/>
      <c r="B79" s="59"/>
      <c r="C79" s="59"/>
    </row>
    <row r="80" customFormat="false" ht="60" hidden="false" customHeight="true" outlineLevel="0" collapsed="false">
      <c r="A80" s="59"/>
      <c r="B80" s="59"/>
      <c r="C80" s="59"/>
    </row>
    <row r="81" customFormat="false" ht="60" hidden="false" customHeight="true" outlineLevel="0" collapsed="false">
      <c r="A81" s="59"/>
      <c r="B81" s="59"/>
      <c r="C81" s="59"/>
    </row>
    <row r="82" customFormat="false" ht="60" hidden="false" customHeight="true" outlineLevel="0" collapsed="false">
      <c r="A82" s="59"/>
      <c r="B82" s="59"/>
      <c r="C82" s="59"/>
    </row>
    <row r="83" customFormat="false" ht="60" hidden="false" customHeight="true" outlineLevel="0" collapsed="false">
      <c r="A83" s="59"/>
      <c r="B83" s="59"/>
      <c r="C83" s="59"/>
    </row>
    <row r="84" customFormat="false" ht="60" hidden="false" customHeight="true" outlineLevel="0" collapsed="false">
      <c r="A84" s="59"/>
      <c r="B84" s="59"/>
      <c r="C84" s="59"/>
    </row>
    <row r="85" customFormat="false" ht="60" hidden="false" customHeight="true" outlineLevel="0" collapsed="false">
      <c r="A85" s="59"/>
      <c r="B85" s="59"/>
      <c r="C85" s="59"/>
    </row>
    <row r="86" customFormat="false" ht="60" hidden="false" customHeight="true" outlineLevel="0" collapsed="false">
      <c r="A86" s="59"/>
      <c r="B86" s="59"/>
      <c r="C86" s="59"/>
    </row>
    <row r="87" customFormat="false" ht="45" hidden="false" customHeight="true" outlineLevel="0" collapsed="false">
      <c r="A87" s="123" t="s">
        <v>950</v>
      </c>
      <c r="B87" s="123" t="s">
        <v>950</v>
      </c>
      <c r="C87" s="123" t="s">
        <v>951</v>
      </c>
    </row>
    <row r="88" customFormat="false" ht="30" hidden="false" customHeight="true" outlineLevel="0" collapsed="false">
      <c r="A88" s="68" t="s">
        <v>952</v>
      </c>
      <c r="B88" s="68" t="s">
        <v>953</v>
      </c>
      <c r="C88" s="68" t="s">
        <v>954</v>
      </c>
    </row>
    <row r="89" customFormat="false" ht="60" hidden="false" customHeight="true" outlineLevel="0" collapsed="false">
      <c r="A89" s="59"/>
      <c r="B89" s="59"/>
      <c r="C89" s="59"/>
    </row>
    <row r="90" customFormat="false" ht="60" hidden="false" customHeight="true" outlineLevel="0" collapsed="false">
      <c r="A90" s="59"/>
      <c r="B90" s="59"/>
      <c r="C90" s="59"/>
    </row>
    <row r="91" customFormat="false" ht="60" hidden="false" customHeight="true" outlineLevel="0" collapsed="false">
      <c r="A91" s="59"/>
      <c r="B91" s="59"/>
      <c r="C91" s="59"/>
    </row>
    <row r="92" customFormat="false" ht="60" hidden="false" customHeight="true" outlineLevel="0" collapsed="false">
      <c r="A92" s="59"/>
      <c r="B92" s="59"/>
      <c r="C92" s="59"/>
    </row>
    <row r="93" customFormat="false" ht="60" hidden="false" customHeight="true" outlineLevel="0" collapsed="false">
      <c r="A93" s="59"/>
      <c r="B93" s="59"/>
      <c r="C93" s="59"/>
    </row>
    <row r="94" customFormat="false" ht="60" hidden="false" customHeight="true" outlineLevel="0" collapsed="false">
      <c r="A94" s="59"/>
      <c r="B94" s="59"/>
      <c r="C94" s="59"/>
    </row>
    <row r="95" customFormat="false" ht="60" hidden="false" customHeight="true" outlineLevel="0" collapsed="false">
      <c r="A95" s="59"/>
      <c r="B95" s="59"/>
      <c r="C95" s="59"/>
    </row>
    <row r="96" customFormat="false" ht="60" hidden="false" customHeight="true" outlineLevel="0" collapsed="false">
      <c r="A96" s="59"/>
      <c r="B96" s="59"/>
      <c r="C96" s="59"/>
    </row>
    <row r="97" customFormat="false" ht="45" hidden="false" customHeight="true" outlineLevel="0" collapsed="false">
      <c r="A97" s="123" t="s">
        <v>955</v>
      </c>
      <c r="B97" s="123" t="s">
        <v>955</v>
      </c>
      <c r="C97" s="123" t="s">
        <v>956</v>
      </c>
    </row>
    <row r="98" customFormat="false" ht="30" hidden="false" customHeight="true" outlineLevel="0" collapsed="false">
      <c r="A98" s="68" t="s">
        <v>957</v>
      </c>
      <c r="B98" s="68" t="s">
        <v>958</v>
      </c>
      <c r="C98" s="68" t="s">
        <v>959</v>
      </c>
    </row>
    <row r="99" customFormat="false" ht="60" hidden="false" customHeight="true" outlineLevel="0" collapsed="false">
      <c r="A99" s="59"/>
      <c r="B99" s="59"/>
      <c r="C99" s="59"/>
    </row>
    <row r="100" customFormat="false" ht="60" hidden="false" customHeight="true" outlineLevel="0" collapsed="false">
      <c r="A100" s="59"/>
      <c r="B100" s="59"/>
      <c r="C100" s="59"/>
    </row>
    <row r="101" customFormat="false" ht="60" hidden="false" customHeight="true" outlineLevel="0" collapsed="false">
      <c r="A101" s="59"/>
      <c r="B101" s="59"/>
      <c r="C101" s="59"/>
    </row>
    <row r="102" customFormat="false" ht="60" hidden="false" customHeight="true" outlineLevel="0" collapsed="false">
      <c r="A102" s="59"/>
      <c r="B102" s="59"/>
      <c r="C102" s="59"/>
    </row>
    <row r="103" customFormat="false" ht="60" hidden="false" customHeight="true" outlineLevel="0" collapsed="false">
      <c r="A103" s="59"/>
      <c r="B103" s="59"/>
      <c r="C103" s="59"/>
    </row>
    <row r="104" customFormat="false" ht="60" hidden="false" customHeight="true" outlineLevel="0" collapsed="false">
      <c r="A104" s="59"/>
      <c r="B104" s="59"/>
      <c r="C104" s="59"/>
    </row>
    <row r="105" customFormat="false" ht="60" hidden="false" customHeight="true" outlineLevel="0" collapsed="false">
      <c r="A105" s="59"/>
      <c r="B105" s="59"/>
      <c r="C105" s="59"/>
    </row>
    <row r="106" customFormat="false" ht="60" hidden="false" customHeight="true" outlineLevel="0" collapsed="false">
      <c r="A106" s="59"/>
      <c r="B106" s="59"/>
      <c r="C106" s="59"/>
    </row>
    <row r="107" customFormat="false" ht="45" hidden="false" customHeight="true" outlineLevel="0" collapsed="false">
      <c r="A107" s="123" t="s">
        <v>956</v>
      </c>
      <c r="B107" s="123" t="s">
        <v>960</v>
      </c>
      <c r="C107" s="123" t="s">
        <v>961</v>
      </c>
    </row>
    <row r="108" customFormat="false" ht="30" hidden="false" customHeight="true" outlineLevel="0" collapsed="false">
      <c r="A108" s="68" t="s">
        <v>962</v>
      </c>
      <c r="B108" s="68" t="s">
        <v>963</v>
      </c>
      <c r="C108" s="68" t="s">
        <v>964</v>
      </c>
    </row>
    <row r="109" customFormat="false" ht="60" hidden="false" customHeight="true" outlineLevel="0" collapsed="false">
      <c r="A109" s="59"/>
      <c r="B109" s="59"/>
      <c r="C109" s="59"/>
    </row>
    <row r="110" customFormat="false" ht="60" hidden="false" customHeight="true" outlineLevel="0" collapsed="false">
      <c r="A110" s="59"/>
      <c r="B110" s="59"/>
      <c r="C110" s="59"/>
    </row>
    <row r="111" customFormat="false" ht="60" hidden="false" customHeight="true" outlineLevel="0" collapsed="false">
      <c r="A111" s="59"/>
      <c r="B111" s="59"/>
      <c r="C111" s="59"/>
    </row>
    <row r="112" customFormat="false" ht="60" hidden="false" customHeight="true" outlineLevel="0" collapsed="false">
      <c r="A112" s="59"/>
      <c r="B112" s="59"/>
      <c r="C112" s="59"/>
    </row>
    <row r="113" customFormat="false" ht="60" hidden="false" customHeight="true" outlineLevel="0" collapsed="false">
      <c r="A113" s="59"/>
      <c r="B113" s="59"/>
      <c r="C113" s="59"/>
    </row>
    <row r="114" customFormat="false" ht="60" hidden="false" customHeight="true" outlineLevel="0" collapsed="false">
      <c r="A114" s="59"/>
      <c r="B114" s="59"/>
      <c r="C114" s="59"/>
    </row>
    <row r="115" customFormat="false" ht="60" hidden="false" customHeight="true" outlineLevel="0" collapsed="false">
      <c r="A115" s="59"/>
      <c r="B115" s="59"/>
      <c r="C115" s="59"/>
    </row>
    <row r="116" customFormat="false" ht="60" hidden="false" customHeight="true" outlineLevel="0" collapsed="false">
      <c r="A116" s="59"/>
      <c r="B116" s="59"/>
      <c r="C116" s="59"/>
    </row>
    <row r="117" customFormat="false" ht="45" hidden="false" customHeight="true" outlineLevel="0" collapsed="false">
      <c r="A117" s="123" t="s">
        <v>965</v>
      </c>
      <c r="B117" s="123" t="s">
        <v>965</v>
      </c>
      <c r="C117" s="123" t="s">
        <v>966</v>
      </c>
    </row>
    <row r="118" customFormat="false" ht="30" hidden="false" customHeight="true" outlineLevel="0" collapsed="false">
      <c r="A118" s="68" t="s">
        <v>967</v>
      </c>
      <c r="B118" s="68" t="s">
        <v>968</v>
      </c>
      <c r="C118" s="68" t="s">
        <v>969</v>
      </c>
    </row>
    <row r="119" customFormat="false" ht="60" hidden="false" customHeight="true" outlineLevel="0" collapsed="false">
      <c r="A119" s="59"/>
      <c r="B119" s="59"/>
      <c r="C119" s="59"/>
    </row>
    <row r="120" customFormat="false" ht="60" hidden="false" customHeight="true" outlineLevel="0" collapsed="false">
      <c r="A120" s="59"/>
      <c r="B120" s="59"/>
      <c r="C120" s="59"/>
    </row>
    <row r="121" customFormat="false" ht="60" hidden="false" customHeight="true" outlineLevel="0" collapsed="false">
      <c r="A121" s="59"/>
      <c r="B121" s="59"/>
      <c r="C121" s="59"/>
    </row>
    <row r="122" customFormat="false" ht="60" hidden="false" customHeight="true" outlineLevel="0" collapsed="false">
      <c r="A122" s="59"/>
      <c r="B122" s="59"/>
      <c r="C122" s="59"/>
    </row>
    <row r="123" customFormat="false" ht="60" hidden="false" customHeight="true" outlineLevel="0" collapsed="false">
      <c r="A123" s="59"/>
      <c r="B123" s="59"/>
      <c r="C123" s="59"/>
    </row>
    <row r="124" customFormat="false" ht="60" hidden="false" customHeight="true" outlineLevel="0" collapsed="false">
      <c r="A124" s="59"/>
      <c r="B124" s="59"/>
      <c r="C124" s="59"/>
    </row>
    <row r="125" customFormat="false" ht="60" hidden="false" customHeight="true" outlineLevel="0" collapsed="false">
      <c r="A125" s="59"/>
      <c r="B125" s="59"/>
      <c r="C125" s="59"/>
    </row>
    <row r="126" customFormat="false" ht="60" hidden="false" customHeight="true" outlineLevel="0" collapsed="false">
      <c r="A126" s="59"/>
      <c r="B126" s="59"/>
      <c r="C126" s="59"/>
    </row>
    <row r="127" customFormat="false" ht="45" hidden="false" customHeight="true" outlineLevel="0" collapsed="false">
      <c r="A127" s="123" t="s">
        <v>966</v>
      </c>
      <c r="B127" s="123" t="s">
        <v>970</v>
      </c>
      <c r="C127" s="123" t="s">
        <v>971</v>
      </c>
    </row>
    <row r="128" customFormat="false" ht="30" hidden="false" customHeight="true" outlineLevel="0" collapsed="false">
      <c r="A128" s="68" t="s">
        <v>972</v>
      </c>
      <c r="B128" s="68" t="s">
        <v>973</v>
      </c>
      <c r="C128" s="68" t="s">
        <v>974</v>
      </c>
    </row>
    <row r="129" customFormat="false" ht="60" hidden="false" customHeight="true" outlineLevel="0" collapsed="false">
      <c r="A129" s="59"/>
      <c r="B129" s="59"/>
      <c r="C129" s="59"/>
    </row>
    <row r="130" customFormat="false" ht="60" hidden="false" customHeight="true" outlineLevel="0" collapsed="false">
      <c r="A130" s="59"/>
      <c r="B130" s="59"/>
      <c r="C130" s="59"/>
    </row>
    <row r="131" customFormat="false" ht="60" hidden="false" customHeight="true" outlineLevel="0" collapsed="false">
      <c r="A131" s="59"/>
      <c r="B131" s="59"/>
      <c r="C131" s="59"/>
    </row>
    <row r="132" customFormat="false" ht="60" hidden="false" customHeight="true" outlineLevel="0" collapsed="false">
      <c r="A132" s="59"/>
      <c r="B132" s="59"/>
      <c r="C132" s="59"/>
    </row>
    <row r="133" customFormat="false" ht="60" hidden="false" customHeight="true" outlineLevel="0" collapsed="false">
      <c r="A133" s="59"/>
      <c r="B133" s="59"/>
      <c r="C133" s="59"/>
    </row>
    <row r="134" customFormat="false" ht="60" hidden="false" customHeight="true" outlineLevel="0" collapsed="false">
      <c r="A134" s="59"/>
      <c r="B134" s="59"/>
      <c r="C134" s="59"/>
    </row>
    <row r="135" customFormat="false" ht="60" hidden="false" customHeight="true" outlineLevel="0" collapsed="false">
      <c r="A135" s="59"/>
      <c r="B135" s="59"/>
      <c r="C135" s="59"/>
    </row>
    <row r="136" customFormat="false" ht="60" hidden="false" customHeight="true" outlineLevel="0" collapsed="false">
      <c r="A136" s="59"/>
      <c r="B136" s="59"/>
      <c r="C136" s="59"/>
    </row>
    <row r="137" customFormat="false" ht="45" hidden="false" customHeight="true" outlineLevel="0" collapsed="false">
      <c r="A137" s="123" t="s">
        <v>975</v>
      </c>
      <c r="B137" s="123" t="s">
        <v>971</v>
      </c>
      <c r="C137" s="123" t="s">
        <v>971</v>
      </c>
    </row>
    <row r="138" customFormat="false" ht="30" hidden="false" customHeight="true" outlineLevel="0" collapsed="false">
      <c r="A138" s="68" t="s">
        <v>976</v>
      </c>
      <c r="B138" s="68" t="s">
        <v>977</v>
      </c>
      <c r="C138" s="68" t="s">
        <v>978</v>
      </c>
    </row>
    <row r="139" customFormat="false" ht="60" hidden="false" customHeight="true" outlineLevel="0" collapsed="false">
      <c r="A139" s="59"/>
      <c r="B139" s="59"/>
      <c r="C139" s="59"/>
    </row>
    <row r="140" customFormat="false" ht="60" hidden="false" customHeight="true" outlineLevel="0" collapsed="false">
      <c r="A140" s="59"/>
      <c r="B140" s="59"/>
      <c r="C140" s="59"/>
    </row>
    <row r="141" customFormat="false" ht="60" hidden="false" customHeight="true" outlineLevel="0" collapsed="false">
      <c r="A141" s="59"/>
      <c r="B141" s="59"/>
      <c r="C141" s="59"/>
    </row>
    <row r="142" customFormat="false" ht="60" hidden="false" customHeight="true" outlineLevel="0" collapsed="false">
      <c r="A142" s="59"/>
      <c r="B142" s="59"/>
      <c r="C142" s="59"/>
    </row>
    <row r="143" customFormat="false" ht="60" hidden="false" customHeight="true" outlineLevel="0" collapsed="false">
      <c r="A143" s="59"/>
      <c r="B143" s="59"/>
      <c r="C143" s="59"/>
    </row>
    <row r="144" customFormat="false" ht="60" hidden="false" customHeight="true" outlineLevel="0" collapsed="false">
      <c r="A144" s="59"/>
      <c r="B144" s="59"/>
      <c r="C144" s="59"/>
    </row>
    <row r="145" customFormat="false" ht="60" hidden="false" customHeight="true" outlineLevel="0" collapsed="false">
      <c r="A145" s="59"/>
      <c r="B145" s="59"/>
      <c r="C145" s="59"/>
    </row>
    <row r="146" customFormat="false" ht="60" hidden="false" customHeight="true" outlineLevel="0" collapsed="false"/>
    <row r="147" customFormat="false" ht="45" hidden="false" customHeight="true" outlineLevel="0" collapsed="false">
      <c r="A147" s="123" t="s">
        <v>971</v>
      </c>
      <c r="B147" s="123" t="s">
        <v>951</v>
      </c>
      <c r="C147" s="123" t="s">
        <v>979</v>
      </c>
    </row>
    <row r="148" customFormat="false" ht="30" hidden="false" customHeight="true" outlineLevel="0" collapsed="false">
      <c r="A148" s="68" t="s">
        <v>980</v>
      </c>
      <c r="B148" s="8"/>
      <c r="C148" s="8"/>
    </row>
    <row r="157" customFormat="false" ht="15" hidden="false" customHeight="false" outlineLevel="0" collapsed="false">
      <c r="A157" s="123" t="s">
        <v>981</v>
      </c>
      <c r="B157" s="123"/>
      <c r="C157" s="123"/>
    </row>
  </sheetData>
  <mergeCells count="3">
    <mergeCell ref="A2:C2"/>
    <mergeCell ref="A4:C5"/>
    <mergeCell ref="A8:C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2026-10-09T04:54:01Z</dcterms:created>
  <dc:creator>openpyxl</dc:creator>
  <dc:description/>
  <dc:language>en-US</dc:language>
  <cp:lastModifiedBy/>
  <dcterms:modified xsi:type="dcterms:W3CDTF">2026-10-09T04:56:33Z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